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дод. 1" sheetId="1" r:id="rId1"/>
  </sheets>
  <definedNames>
    <definedName name="_xlnm.Print_Titles" localSheetId="0">'дод. 1'!$12:$12</definedName>
    <definedName name="_xlnm.Print_Area" localSheetId="0">'дод. 1'!$A$1:$I$352</definedName>
  </definedNames>
  <calcPr calcId="125725"/>
</workbook>
</file>

<file path=xl/calcChain.xml><?xml version="1.0" encoding="utf-8"?>
<calcChain xmlns="http://schemas.openxmlformats.org/spreadsheetml/2006/main">
  <c r="E309" i="1"/>
  <c r="F309"/>
  <c r="G309"/>
  <c r="D309"/>
  <c r="G86"/>
  <c r="F40"/>
  <c r="F39"/>
  <c r="F38"/>
  <c r="F37"/>
  <c r="F36"/>
  <c r="F35"/>
  <c r="F33"/>
  <c r="G276"/>
  <c r="F276"/>
  <c r="F96"/>
  <c r="F47" s="1"/>
  <c r="F27" s="1"/>
  <c r="E179"/>
  <c r="E102"/>
  <c r="E14"/>
  <c r="F14"/>
  <c r="G14"/>
  <c r="E15"/>
  <c r="F15"/>
  <c r="G15"/>
  <c r="E16"/>
  <c r="F16"/>
  <c r="E17"/>
  <c r="F17"/>
  <c r="G17"/>
  <c r="E18"/>
  <c r="F18"/>
  <c r="G18"/>
  <c r="E19"/>
  <c r="F19"/>
  <c r="G19"/>
  <c r="E20"/>
  <c r="F20"/>
  <c r="G20"/>
  <c r="F21"/>
  <c r="G21"/>
  <c r="E22"/>
  <c r="E23"/>
  <c r="F23"/>
  <c r="G23"/>
  <c r="E24"/>
  <c r="F24"/>
  <c r="G24"/>
  <c r="E25"/>
  <c r="F25"/>
  <c r="G25"/>
  <c r="E26"/>
  <c r="F26"/>
  <c r="G26"/>
  <c r="E27"/>
  <c r="G27"/>
  <c r="E28"/>
  <c r="F28"/>
  <c r="G28"/>
  <c r="E29"/>
  <c r="F29"/>
  <c r="G29"/>
  <c r="E30"/>
  <c r="F30"/>
  <c r="G30"/>
  <c r="E31"/>
  <c r="F31"/>
  <c r="G31"/>
  <c r="F32"/>
  <c r="G32"/>
  <c r="D32"/>
  <c r="D31"/>
  <c r="D53"/>
  <c r="H51"/>
  <c r="I51"/>
  <c r="E51"/>
  <c r="F51"/>
  <c r="G51"/>
  <c r="D51"/>
  <c r="D30"/>
  <c r="D29"/>
  <c r="D28"/>
  <c r="D25"/>
  <c r="D24"/>
  <c r="D21"/>
  <c r="D20"/>
  <c r="D19"/>
  <c r="D18"/>
  <c r="D17"/>
  <c r="D16"/>
  <c r="D15"/>
  <c r="D14"/>
  <c r="E300"/>
  <c r="F300"/>
  <c r="G300"/>
  <c r="E301"/>
  <c r="F301"/>
  <c r="G301"/>
  <c r="E302"/>
  <c r="F302"/>
  <c r="G302"/>
  <c r="E303"/>
  <c r="F303"/>
  <c r="G303"/>
  <c r="E304"/>
  <c r="F304"/>
  <c r="G304"/>
  <c r="E305"/>
  <c r="F305"/>
  <c r="G305"/>
  <c r="E306"/>
  <c r="F306"/>
  <c r="G306"/>
  <c r="E307"/>
  <c r="F307"/>
  <c r="G307"/>
  <c r="E308"/>
  <c r="F308"/>
  <c r="G308"/>
  <c r="E310"/>
  <c r="E32" s="1"/>
  <c r="F310"/>
  <c r="G310"/>
  <c r="D310"/>
  <c r="D308"/>
  <c r="D307"/>
  <c r="D306"/>
  <c r="D305"/>
  <c r="D304"/>
  <c r="D303"/>
  <c r="D302"/>
  <c r="D301"/>
  <c r="D300"/>
  <c r="E242"/>
  <c r="F242"/>
  <c r="G242"/>
  <c r="D242"/>
  <c r="E241"/>
  <c r="F241"/>
  <c r="G241"/>
  <c r="D241"/>
  <c r="E240"/>
  <c r="F240"/>
  <c r="G240"/>
  <c r="D240"/>
  <c r="E239"/>
  <c r="F239"/>
  <c r="G239"/>
  <c r="D239"/>
  <c r="E238"/>
  <c r="F238"/>
  <c r="G238"/>
  <c r="D238"/>
  <c r="E237"/>
  <c r="F237"/>
  <c r="G237"/>
  <c r="D237"/>
  <c r="E236"/>
  <c r="F236"/>
  <c r="G236"/>
  <c r="D236"/>
  <c r="E235"/>
  <c r="F235"/>
  <c r="G235"/>
  <c r="D235"/>
  <c r="E234"/>
  <c r="F234"/>
  <c r="G234"/>
  <c r="D234"/>
  <c r="E233"/>
  <c r="F233"/>
  <c r="G233"/>
  <c r="D233"/>
  <c r="E232"/>
  <c r="F232"/>
  <c r="F22" s="1"/>
  <c r="G232"/>
  <c r="G22" s="1"/>
  <c r="D232"/>
  <c r="E231"/>
  <c r="F231"/>
  <c r="G231"/>
  <c r="D231"/>
  <c r="E230"/>
  <c r="F230"/>
  <c r="G230"/>
  <c r="D230"/>
  <c r="E229"/>
  <c r="F229"/>
  <c r="G229"/>
  <c r="D229"/>
  <c r="E228"/>
  <c r="F228"/>
  <c r="G228"/>
  <c r="D228"/>
  <c r="E227"/>
  <c r="F227"/>
  <c r="G227"/>
  <c r="D227"/>
  <c r="E226"/>
  <c r="F226"/>
  <c r="G226"/>
  <c r="D226"/>
  <c r="E225"/>
  <c r="F225"/>
  <c r="G225"/>
  <c r="D225"/>
  <c r="E224"/>
  <c r="F224"/>
  <c r="G224"/>
  <c r="D224"/>
  <c r="D194"/>
  <c r="E193"/>
  <c r="F193"/>
  <c r="G193"/>
  <c r="D193"/>
  <c r="D192"/>
  <c r="D191"/>
  <c r="D190"/>
  <c r="D188"/>
  <c r="D187"/>
  <c r="D186"/>
  <c r="D163"/>
  <c r="D138"/>
  <c r="D137"/>
  <c r="D136"/>
  <c r="D135"/>
  <c r="D134"/>
  <c r="D133"/>
  <c r="E52"/>
  <c r="F52"/>
  <c r="G52"/>
  <c r="D52"/>
  <c r="E50"/>
  <c r="F50"/>
  <c r="G50"/>
  <c r="D50"/>
  <c r="E49"/>
  <c r="F49"/>
  <c r="G49"/>
  <c r="D49"/>
  <c r="E48"/>
  <c r="F48"/>
  <c r="G48"/>
  <c r="D48"/>
  <c r="E47"/>
  <c r="G47"/>
  <c r="D47"/>
  <c r="E46"/>
  <c r="F46"/>
  <c r="G46"/>
  <c r="D46"/>
  <c r="E45"/>
  <c r="F45"/>
  <c r="G45"/>
  <c r="D45"/>
  <c r="E44"/>
  <c r="F44"/>
  <c r="G44"/>
  <c r="D44"/>
  <c r="E43"/>
  <c r="F43"/>
  <c r="G43"/>
  <c r="D43"/>
  <c r="E42"/>
  <c r="F42"/>
  <c r="G42"/>
  <c r="D42"/>
  <c r="E41"/>
  <c r="F41"/>
  <c r="G41"/>
  <c r="D41"/>
  <c r="E40"/>
  <c r="G40"/>
  <c r="D40"/>
  <c r="E39"/>
  <c r="G39"/>
  <c r="D39"/>
  <c r="E38"/>
  <c r="G38"/>
  <c r="D38"/>
  <c r="E37"/>
  <c r="G37"/>
  <c r="G16" s="1"/>
  <c r="G33" s="1"/>
  <c r="D37"/>
  <c r="E36"/>
  <c r="G36"/>
  <c r="D36"/>
  <c r="E35"/>
  <c r="G35"/>
  <c r="D35"/>
  <c r="G283"/>
  <c r="F283"/>
  <c r="G282"/>
  <c r="F282"/>
  <c r="G281"/>
  <c r="F281"/>
  <c r="G273"/>
  <c r="F273"/>
  <c r="G270"/>
  <c r="F270"/>
  <c r="G205"/>
  <c r="F205"/>
  <c r="G200"/>
  <c r="F200"/>
  <c r="G199"/>
  <c r="F199"/>
  <c r="G97"/>
  <c r="F97"/>
  <c r="G91"/>
  <c r="F91"/>
  <c r="F86"/>
  <c r="F131"/>
  <c r="G131"/>
  <c r="E131"/>
  <c r="I131" s="1"/>
  <c r="D131"/>
  <c r="H131" s="1"/>
  <c r="I130"/>
  <c r="H130"/>
  <c r="I129"/>
  <c r="H129"/>
  <c r="I128"/>
  <c r="H128"/>
  <c r="I127"/>
  <c r="H127"/>
  <c r="I126"/>
  <c r="H126"/>
  <c r="F110"/>
  <c r="F113" s="1"/>
  <c r="H111"/>
  <c r="I111"/>
  <c r="F109"/>
  <c r="F108"/>
  <c r="F107"/>
  <c r="F106"/>
  <c r="F105"/>
  <c r="F104"/>
  <c r="G99"/>
  <c r="F99"/>
  <c r="G96"/>
  <c r="G93"/>
  <c r="F93"/>
  <c r="G92"/>
  <c r="F92"/>
  <c r="G89"/>
  <c r="F89"/>
  <c r="G88"/>
  <c r="F88"/>
  <c r="G336"/>
  <c r="F336"/>
  <c r="G334"/>
  <c r="F334"/>
  <c r="G333"/>
  <c r="F333"/>
  <c r="G332"/>
  <c r="F332"/>
  <c r="G331"/>
  <c r="F331"/>
  <c r="H326"/>
  <c r="I326"/>
  <c r="E327"/>
  <c r="F327"/>
  <c r="G327"/>
  <c r="D327"/>
  <c r="G277"/>
  <c r="G280"/>
  <c r="F280"/>
  <c r="F277"/>
  <c r="F275"/>
  <c r="G274"/>
  <c r="F274"/>
  <c r="G269"/>
  <c r="F269"/>
  <c r="G268"/>
  <c r="F268"/>
  <c r="H205"/>
  <c r="I205"/>
  <c r="G206"/>
  <c r="F206"/>
  <c r="H206" s="1"/>
  <c r="E206"/>
  <c r="D206"/>
  <c r="G204"/>
  <c r="F204"/>
  <c r="G203"/>
  <c r="F203"/>
  <c r="G202"/>
  <c r="F202"/>
  <c r="G148"/>
  <c r="F148"/>
  <c r="G87"/>
  <c r="F87"/>
  <c r="G68"/>
  <c r="G70"/>
  <c r="G75"/>
  <c r="F75"/>
  <c r="G74"/>
  <c r="F74"/>
  <c r="G73"/>
  <c r="F73"/>
  <c r="G72"/>
  <c r="F72"/>
  <c r="G69"/>
  <c r="F69"/>
  <c r="F68"/>
  <c r="G58"/>
  <c r="G279"/>
  <c r="F279"/>
  <c r="G278"/>
  <c r="F278"/>
  <c r="G275"/>
  <c r="G272"/>
  <c r="F272"/>
  <c r="G271"/>
  <c r="F271"/>
  <c r="G264"/>
  <c r="F264"/>
  <c r="G262"/>
  <c r="F262"/>
  <c r="G261"/>
  <c r="F261"/>
  <c r="G260"/>
  <c r="F260"/>
  <c r="G259"/>
  <c r="F259"/>
  <c r="G258"/>
  <c r="F258"/>
  <c r="G257"/>
  <c r="F257"/>
  <c r="G178" l="1"/>
  <c r="F178"/>
  <c r="G177"/>
  <c r="F177"/>
  <c r="G176"/>
  <c r="F176"/>
  <c r="G175"/>
  <c r="F175"/>
  <c r="G174"/>
  <c r="G173"/>
  <c r="F173"/>
  <c r="G172"/>
  <c r="F172"/>
  <c r="G171"/>
  <c r="G98"/>
  <c r="F98"/>
  <c r="G95"/>
  <c r="F95"/>
  <c r="G94"/>
  <c r="F94"/>
  <c r="G90"/>
  <c r="F90"/>
  <c r="G85"/>
  <c r="G84"/>
  <c r="F85"/>
  <c r="F84"/>
  <c r="G76"/>
  <c r="F76"/>
  <c r="E133"/>
  <c r="F133"/>
  <c r="G133"/>
  <c r="E134"/>
  <c r="F134"/>
  <c r="G134"/>
  <c r="E135"/>
  <c r="F135"/>
  <c r="G135"/>
  <c r="E136"/>
  <c r="F136"/>
  <c r="G136"/>
  <c r="E137"/>
  <c r="F137"/>
  <c r="G137"/>
  <c r="E138"/>
  <c r="F138"/>
  <c r="G138"/>
  <c r="E139"/>
  <c r="F139"/>
  <c r="G139"/>
  <c r="E140"/>
  <c r="F140"/>
  <c r="G140"/>
  <c r="E141"/>
  <c r="F141"/>
  <c r="G141"/>
  <c r="E142"/>
  <c r="F142"/>
  <c r="G142"/>
  <c r="D142"/>
  <c r="D27" s="1"/>
  <c r="D141"/>
  <c r="D26" s="1"/>
  <c r="D140"/>
  <c r="D23" s="1"/>
  <c r="D139"/>
  <c r="D22" s="1"/>
  <c r="E155"/>
  <c r="D155"/>
  <c r="I154"/>
  <c r="H154"/>
  <c r="I153"/>
  <c r="H153"/>
  <c r="I152"/>
  <c r="H152"/>
  <c r="I151"/>
  <c r="H151"/>
  <c r="I150"/>
  <c r="H150"/>
  <c r="I149"/>
  <c r="H149"/>
  <c r="I148"/>
  <c r="H148"/>
  <c r="I147"/>
  <c r="F155"/>
  <c r="I146"/>
  <c r="H146"/>
  <c r="I145"/>
  <c r="H145"/>
  <c r="I142"/>
  <c r="H142"/>
  <c r="I141"/>
  <c r="H141"/>
  <c r="I140"/>
  <c r="H140"/>
  <c r="I139"/>
  <c r="H139"/>
  <c r="I138"/>
  <c r="H138"/>
  <c r="I137"/>
  <c r="H137"/>
  <c r="I136"/>
  <c r="H136"/>
  <c r="I135"/>
  <c r="H135"/>
  <c r="I134"/>
  <c r="H134"/>
  <c r="G143"/>
  <c r="F143"/>
  <c r="E143"/>
  <c r="I143" s="1"/>
  <c r="E124"/>
  <c r="F124"/>
  <c r="G124"/>
  <c r="D124"/>
  <c r="I121"/>
  <c r="H121"/>
  <c r="I120"/>
  <c r="H120"/>
  <c r="I119"/>
  <c r="H119"/>
  <c r="I124"/>
  <c r="H124"/>
  <c r="I123"/>
  <c r="H123"/>
  <c r="I122"/>
  <c r="H122"/>
  <c r="E117"/>
  <c r="F117"/>
  <c r="G117"/>
  <c r="D117"/>
  <c r="H116"/>
  <c r="I116"/>
  <c r="I115"/>
  <c r="H115"/>
  <c r="H100"/>
  <c r="I100"/>
  <c r="D102"/>
  <c r="E349"/>
  <c r="D349"/>
  <c r="E345"/>
  <c r="D345"/>
  <c r="E341"/>
  <c r="D341"/>
  <c r="E337"/>
  <c r="D337"/>
  <c r="E323"/>
  <c r="F323"/>
  <c r="G323"/>
  <c r="E320"/>
  <c r="F320"/>
  <c r="G320"/>
  <c r="D320"/>
  <c r="E298"/>
  <c r="D298"/>
  <c r="E288"/>
  <c r="F288"/>
  <c r="G288"/>
  <c r="E285"/>
  <c r="D285"/>
  <c r="E266"/>
  <c r="D266"/>
  <c r="E255"/>
  <c r="F255"/>
  <c r="G255"/>
  <c r="E252"/>
  <c r="F252"/>
  <c r="G252"/>
  <c r="D252"/>
  <c r="E222"/>
  <c r="F222"/>
  <c r="G222"/>
  <c r="D222"/>
  <c r="E213"/>
  <c r="D213"/>
  <c r="E182"/>
  <c r="F182"/>
  <c r="G182"/>
  <c r="D179"/>
  <c r="E113"/>
  <c r="D113"/>
  <c r="E82"/>
  <c r="D82"/>
  <c r="E70"/>
  <c r="D70"/>
  <c r="E66"/>
  <c r="F66"/>
  <c r="G66"/>
  <c r="D66"/>
  <c r="D143" l="1"/>
  <c r="H143" s="1"/>
  <c r="H155"/>
  <c r="H133"/>
  <c r="H147"/>
  <c r="G155"/>
  <c r="I155" s="1"/>
  <c r="I133"/>
  <c r="H117"/>
  <c r="I117"/>
  <c r="E243"/>
  <c r="E184"/>
  <c r="F184"/>
  <c r="G184"/>
  <c r="E185"/>
  <c r="F185"/>
  <c r="G185"/>
  <c r="E186"/>
  <c r="E187"/>
  <c r="E195" s="1"/>
  <c r="E188"/>
  <c r="F188"/>
  <c r="G188"/>
  <c r="E189"/>
  <c r="F189"/>
  <c r="G189"/>
  <c r="E190"/>
  <c r="E191"/>
  <c r="F191"/>
  <c r="G191"/>
  <c r="E192"/>
  <c r="E194"/>
  <c r="D189"/>
  <c r="D185"/>
  <c r="D184"/>
  <c r="E157"/>
  <c r="F157"/>
  <c r="G157"/>
  <c r="E158"/>
  <c r="F158"/>
  <c r="G158"/>
  <c r="E159"/>
  <c r="E160"/>
  <c r="E161"/>
  <c r="E162"/>
  <c r="E21" s="1"/>
  <c r="E163"/>
  <c r="E164"/>
  <c r="E165"/>
  <c r="E166"/>
  <c r="G166"/>
  <c r="D166"/>
  <c r="D165"/>
  <c r="D164"/>
  <c r="D162"/>
  <c r="D161"/>
  <c r="D160"/>
  <c r="D159"/>
  <c r="D158"/>
  <c r="D157"/>
  <c r="E311" l="1"/>
  <c r="D195"/>
  <c r="D167"/>
  <c r="E167"/>
  <c r="D243"/>
  <c r="D311"/>
  <c r="E33"/>
  <c r="E53"/>
  <c r="D33"/>
  <c r="G349"/>
  <c r="I349" s="1"/>
  <c r="F349"/>
  <c r="I293"/>
  <c r="H293"/>
  <c r="I291"/>
  <c r="H291"/>
  <c r="G298"/>
  <c r="I290"/>
  <c r="H290"/>
  <c r="H189"/>
  <c r="H185"/>
  <c r="F213"/>
  <c r="G213"/>
  <c r="I212"/>
  <c r="H212"/>
  <c r="I211"/>
  <c r="H211"/>
  <c r="I210"/>
  <c r="H210"/>
  <c r="I209"/>
  <c r="H209"/>
  <c r="I191"/>
  <c r="H191"/>
  <c r="I189"/>
  <c r="I185"/>
  <c r="H110"/>
  <c r="H109"/>
  <c r="I104"/>
  <c r="I105"/>
  <c r="I106"/>
  <c r="I107"/>
  <c r="I108"/>
  <c r="I109"/>
  <c r="I110"/>
  <c r="I112"/>
  <c r="H112"/>
  <c r="H108"/>
  <c r="H106"/>
  <c r="I91"/>
  <c r="I309"/>
  <c r="H309"/>
  <c r="I335"/>
  <c r="H335"/>
  <c r="I302"/>
  <c r="H302"/>
  <c r="H274"/>
  <c r="I281"/>
  <c r="H281"/>
  <c r="I279"/>
  <c r="I262"/>
  <c r="G192"/>
  <c r="F192"/>
  <c r="F166"/>
  <c r="G165"/>
  <c r="F165"/>
  <c r="G164"/>
  <c r="F164"/>
  <c r="G163"/>
  <c r="F163"/>
  <c r="G162"/>
  <c r="F174"/>
  <c r="F162" s="1"/>
  <c r="G161"/>
  <c r="F161"/>
  <c r="G160"/>
  <c r="F160"/>
  <c r="F171"/>
  <c r="I157"/>
  <c r="I158"/>
  <c r="I166"/>
  <c r="F102"/>
  <c r="I62"/>
  <c r="H62"/>
  <c r="I347"/>
  <c r="I348"/>
  <c r="I344"/>
  <c r="I330"/>
  <c r="I332"/>
  <c r="I334"/>
  <c r="I336"/>
  <c r="I325"/>
  <c r="I327"/>
  <c r="I322"/>
  <c r="I323"/>
  <c r="I320"/>
  <c r="I319"/>
  <c r="H319"/>
  <c r="I307"/>
  <c r="H307"/>
  <c r="I304"/>
  <c r="I317"/>
  <c r="H317"/>
  <c r="I313"/>
  <c r="I314"/>
  <c r="I315"/>
  <c r="I316"/>
  <c r="I318"/>
  <c r="I292"/>
  <c r="I294"/>
  <c r="I295"/>
  <c r="I296"/>
  <c r="I297"/>
  <c r="H234"/>
  <c r="I288"/>
  <c r="D288"/>
  <c r="H288" s="1"/>
  <c r="I287"/>
  <c r="H287"/>
  <c r="I268"/>
  <c r="I269"/>
  <c r="I270"/>
  <c r="I271"/>
  <c r="I272"/>
  <c r="I273"/>
  <c r="I274"/>
  <c r="I275"/>
  <c r="I276"/>
  <c r="I278"/>
  <c r="I280"/>
  <c r="I282"/>
  <c r="I283"/>
  <c r="I284"/>
  <c r="I257"/>
  <c r="I259"/>
  <c r="I261"/>
  <c r="I263"/>
  <c r="I264"/>
  <c r="I265"/>
  <c r="I254"/>
  <c r="I255"/>
  <c r="I245"/>
  <c r="I246"/>
  <c r="I247"/>
  <c r="I248"/>
  <c r="I249"/>
  <c r="I250"/>
  <c r="I251"/>
  <c r="I241"/>
  <c r="I252"/>
  <c r="I216"/>
  <c r="I217"/>
  <c r="I218"/>
  <c r="I219"/>
  <c r="I220"/>
  <c r="I221"/>
  <c r="I222"/>
  <c r="I197"/>
  <c r="I198"/>
  <c r="I199"/>
  <c r="I200"/>
  <c r="I201"/>
  <c r="I202"/>
  <c r="I203"/>
  <c r="I204"/>
  <c r="I181"/>
  <c r="I182"/>
  <c r="I175"/>
  <c r="I169"/>
  <c r="I170"/>
  <c r="I171"/>
  <c r="I172"/>
  <c r="I173"/>
  <c r="I174"/>
  <c r="I176"/>
  <c r="I177"/>
  <c r="I178"/>
  <c r="I84"/>
  <c r="I85"/>
  <c r="I86"/>
  <c r="I88"/>
  <c r="I89"/>
  <c r="I90"/>
  <c r="I92"/>
  <c r="I93"/>
  <c r="I94"/>
  <c r="I96"/>
  <c r="I97"/>
  <c r="I98"/>
  <c r="I101"/>
  <c r="H87"/>
  <c r="I72"/>
  <c r="I73"/>
  <c r="I74"/>
  <c r="I75"/>
  <c r="I76"/>
  <c r="I77"/>
  <c r="I78"/>
  <c r="I79"/>
  <c r="I80"/>
  <c r="I81"/>
  <c r="I55"/>
  <c r="I56"/>
  <c r="I57"/>
  <c r="I58"/>
  <c r="I59"/>
  <c r="I60"/>
  <c r="I61"/>
  <c r="I63"/>
  <c r="I64"/>
  <c r="I65"/>
  <c r="H66"/>
  <c r="I44"/>
  <c r="H348"/>
  <c r="H347"/>
  <c r="H344"/>
  <c r="H343"/>
  <c r="H336"/>
  <c r="H333"/>
  <c r="H332"/>
  <c r="H331"/>
  <c r="H330"/>
  <c r="H329"/>
  <c r="H327"/>
  <c r="H325"/>
  <c r="H322"/>
  <c r="H318"/>
  <c r="H316"/>
  <c r="H315"/>
  <c r="H314"/>
  <c r="H313"/>
  <c r="H305"/>
  <c r="H304"/>
  <c r="H303"/>
  <c r="H301"/>
  <c r="H297"/>
  <c r="H296"/>
  <c r="H295"/>
  <c r="H294"/>
  <c r="H292"/>
  <c r="H284"/>
  <c r="H283"/>
  <c r="H282"/>
  <c r="H280"/>
  <c r="H279"/>
  <c r="H277"/>
  <c r="H276"/>
  <c r="H273"/>
  <c r="H272"/>
  <c r="H271"/>
  <c r="H270"/>
  <c r="H269"/>
  <c r="H268"/>
  <c r="H265"/>
  <c r="H263"/>
  <c r="H261"/>
  <c r="H260"/>
  <c r="H259"/>
  <c r="H258"/>
  <c r="H257"/>
  <c r="D255"/>
  <c r="H255" s="1"/>
  <c r="H254"/>
  <c r="H251"/>
  <c r="H252"/>
  <c r="H249"/>
  <c r="H248"/>
  <c r="H247"/>
  <c r="H246"/>
  <c r="H245"/>
  <c r="H221"/>
  <c r="H222"/>
  <c r="H219"/>
  <c r="H218"/>
  <c r="H217"/>
  <c r="H216"/>
  <c r="H204"/>
  <c r="H203"/>
  <c r="H201"/>
  <c r="H200"/>
  <c r="H198"/>
  <c r="H197"/>
  <c r="D182"/>
  <c r="H182" s="1"/>
  <c r="H181"/>
  <c r="H178"/>
  <c r="H176"/>
  <c r="H172"/>
  <c r="H170"/>
  <c r="H169"/>
  <c r="H160"/>
  <c r="H158"/>
  <c r="H107"/>
  <c r="H105"/>
  <c r="H101"/>
  <c r="H99"/>
  <c r="H98"/>
  <c r="H97"/>
  <c r="H96"/>
  <c r="H95"/>
  <c r="H94"/>
  <c r="H93"/>
  <c r="H92"/>
  <c r="H91"/>
  <c r="H88"/>
  <c r="H86"/>
  <c r="H85"/>
  <c r="H81"/>
  <c r="H80"/>
  <c r="H79"/>
  <c r="H78"/>
  <c r="H76"/>
  <c r="H74"/>
  <c r="H72"/>
  <c r="H65"/>
  <c r="H64"/>
  <c r="H63"/>
  <c r="H61"/>
  <c r="H60"/>
  <c r="H59"/>
  <c r="H58"/>
  <c r="H57"/>
  <c r="H56"/>
  <c r="H55"/>
  <c r="F179" l="1"/>
  <c r="F159"/>
  <c r="F167" s="1"/>
  <c r="H167" s="1"/>
  <c r="F186"/>
  <c r="G266"/>
  <c r="I225"/>
  <c r="I226"/>
  <c r="I229"/>
  <c r="I230"/>
  <c r="I232"/>
  <c r="I233"/>
  <c r="I235"/>
  <c r="F70"/>
  <c r="I69"/>
  <c r="I52"/>
  <c r="F82"/>
  <c r="I237"/>
  <c r="G337"/>
  <c r="I337" s="1"/>
  <c r="G179"/>
  <c r="I179" s="1"/>
  <c r="G159"/>
  <c r="G167" s="1"/>
  <c r="I167" s="1"/>
  <c r="G186"/>
  <c r="F266"/>
  <c r="I236"/>
  <c r="I227"/>
  <c r="H69"/>
  <c r="G82"/>
  <c r="I82" s="1"/>
  <c r="F337"/>
  <c r="H104"/>
  <c r="H113"/>
  <c r="G113"/>
  <c r="I113" s="1"/>
  <c r="G190"/>
  <c r="I190" s="1"/>
  <c r="G194"/>
  <c r="I242"/>
  <c r="G341"/>
  <c r="I24"/>
  <c r="I340"/>
  <c r="I343"/>
  <c r="G345"/>
  <c r="G285"/>
  <c r="H73"/>
  <c r="H75"/>
  <c r="H84"/>
  <c r="H89"/>
  <c r="H171"/>
  <c r="H173"/>
  <c r="H177"/>
  <c r="H199"/>
  <c r="H264"/>
  <c r="I99"/>
  <c r="I95"/>
  <c r="I87"/>
  <c r="H175"/>
  <c r="I260"/>
  <c r="I258"/>
  <c r="I277"/>
  <c r="I333"/>
  <c r="I331"/>
  <c r="I329"/>
  <c r="G102"/>
  <c r="I102" s="1"/>
  <c r="H20"/>
  <c r="I15"/>
  <c r="F285"/>
  <c r="H23"/>
  <c r="I48"/>
  <c r="G187"/>
  <c r="I19" s="1"/>
  <c r="I238"/>
  <c r="I29"/>
  <c r="I30"/>
  <c r="I21"/>
  <c r="F190"/>
  <c r="H190" s="1"/>
  <c r="F194"/>
  <c r="F298"/>
  <c r="H298" s="1"/>
  <c r="F341"/>
  <c r="H308"/>
  <c r="H340"/>
  <c r="H310"/>
  <c r="F345"/>
  <c r="H345" s="1"/>
  <c r="H306"/>
  <c r="I26"/>
  <c r="H27"/>
  <c r="I23"/>
  <c r="F187"/>
  <c r="H19" s="1"/>
  <c r="H238"/>
  <c r="H29"/>
  <c r="H30"/>
  <c r="H38"/>
  <c r="I240"/>
  <c r="I37"/>
  <c r="H68"/>
  <c r="H339"/>
  <c r="H341"/>
  <c r="I68"/>
  <c r="I70"/>
  <c r="I339"/>
  <c r="I341"/>
  <c r="H70"/>
  <c r="I39"/>
  <c r="H17"/>
  <c r="H349"/>
  <c r="I345"/>
  <c r="I298"/>
  <c r="I213"/>
  <c r="H213"/>
  <c r="I208"/>
  <c r="H208"/>
  <c r="I43"/>
  <c r="I45"/>
  <c r="I46"/>
  <c r="I41"/>
  <c r="I36"/>
  <c r="I47"/>
  <c r="I27"/>
  <c r="I49"/>
  <c r="I50"/>
  <c r="I25"/>
  <c r="H179"/>
  <c r="I308"/>
  <c r="I305"/>
  <c r="I164"/>
  <c r="I162"/>
  <c r="I188"/>
  <c r="I192"/>
  <c r="I234"/>
  <c r="I165"/>
  <c r="I163"/>
  <c r="I161"/>
  <c r="H188"/>
  <c r="H192"/>
  <c r="I184"/>
  <c r="H184"/>
  <c r="I310"/>
  <c r="I301"/>
  <c r="I303"/>
  <c r="H337"/>
  <c r="I285"/>
  <c r="H161"/>
  <c r="I160"/>
  <c r="I159"/>
  <c r="H159"/>
  <c r="I306"/>
  <c r="H37"/>
  <c r="I66"/>
  <c r="I35"/>
  <c r="I266"/>
  <c r="H25"/>
  <c r="H26"/>
  <c r="H31"/>
  <c r="H35"/>
  <c r="H36"/>
  <c r="H39"/>
  <c r="H225"/>
  <c r="H226"/>
  <c r="H227"/>
  <c r="H228"/>
  <c r="H229"/>
  <c r="H230"/>
  <c r="H231"/>
  <c r="H40"/>
  <c r="H232"/>
  <c r="H233"/>
  <c r="H275"/>
  <c r="H82"/>
  <c r="H90"/>
  <c r="H235"/>
  <c r="H278"/>
  <c r="H18"/>
  <c r="H42"/>
  <c r="H43"/>
  <c r="H44"/>
  <c r="H45"/>
  <c r="H46"/>
  <c r="H47"/>
  <c r="H48"/>
  <c r="H49"/>
  <c r="H50"/>
  <c r="H52"/>
  <c r="H163"/>
  <c r="H164"/>
  <c r="H165"/>
  <c r="H166"/>
  <c r="H236"/>
  <c r="H237"/>
  <c r="H240"/>
  <c r="H241"/>
  <c r="H242"/>
  <c r="H250"/>
  <c r="I20"/>
  <c r="H77"/>
  <c r="H102"/>
  <c r="H157"/>
  <c r="H174"/>
  <c r="H202"/>
  <c r="H220"/>
  <c r="H320"/>
  <c r="D323"/>
  <c r="H323" s="1"/>
  <c r="H262"/>
  <c r="H266" s="1"/>
  <c r="H334"/>
  <c r="H239" l="1"/>
  <c r="H187"/>
  <c r="I239"/>
  <c r="I17"/>
  <c r="I187"/>
  <c r="F53"/>
  <c r="H53" s="1"/>
  <c r="H194"/>
  <c r="I231"/>
  <c r="I28"/>
  <c r="H24"/>
  <c r="I194"/>
  <c r="I32"/>
  <c r="H22"/>
  <c r="G243"/>
  <c r="I243" s="1"/>
  <c r="I224"/>
  <c r="F311"/>
  <c r="H311" s="1"/>
  <c r="H300"/>
  <c r="I14"/>
  <c r="G53"/>
  <c r="I53" s="1"/>
  <c r="F243"/>
  <c r="H243" s="1"/>
  <c r="H224"/>
  <c r="G311"/>
  <c r="I311" s="1"/>
  <c r="I300"/>
  <c r="H28"/>
  <c r="H15"/>
  <c r="H32"/>
  <c r="I22"/>
  <c r="G195"/>
  <c r="F195"/>
  <c r="I16"/>
  <c r="H16"/>
  <c r="I42"/>
  <c r="I31"/>
  <c r="I18"/>
  <c r="I228"/>
  <c r="I38"/>
  <c r="I40"/>
  <c r="I186"/>
  <c r="H186"/>
  <c r="I206"/>
  <c r="H285"/>
  <c r="H162"/>
  <c r="H41"/>
  <c r="I33" l="1"/>
  <c r="H33"/>
  <c r="H14"/>
  <c r="I193"/>
  <c r="I195"/>
  <c r="H193"/>
  <c r="H195"/>
  <c r="H21"/>
</calcChain>
</file>

<file path=xl/sharedStrings.xml><?xml version="1.0" encoding="utf-8"?>
<sst xmlns="http://schemas.openxmlformats.org/spreadsheetml/2006/main" count="117" uniqueCount="61">
  <si>
    <t>Додаток № 2</t>
  </si>
  <si>
    <t xml:space="preserve">ЗАТВЕРДЖЕНО
Наказ Міністерства фінансів України 
01.12.2010 № 1489 </t>
  </si>
  <si>
    <t>Міністерство екології та природних ресурсів України</t>
  </si>
  <si>
    <t>(найменування головного розпорядника коштів державного бюджету)</t>
  </si>
  <si>
    <t>(тис. грн.)</t>
  </si>
  <si>
    <t>Код програмної класифікації видатків та кредитування бюджету / код економічної класифікації видатків бюджету  або код кредитування бюджету</t>
  </si>
  <si>
    <t>Код функціональної класифікації видатків та кредитування бюджету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</si>
  <si>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</si>
  <si>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</si>
  <si>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</si>
  <si>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</si>
  <si>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>Апарат Міністерства екології та природних ресурсів України</t>
  </si>
  <si>
    <t>0540</t>
  </si>
  <si>
    <t>Загальне керівництво та управління у сфері екології та природних ресурсів</t>
  </si>
  <si>
    <t>0530</t>
  </si>
  <si>
    <t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t>
  </si>
  <si>
    <t>0950</t>
  </si>
  <si>
    <t>Підвищення кваліфікації та перепідготовка у сфері екології та природних ресурсів, підготовка наукових та науково-педагогічних кадрів</t>
  </si>
  <si>
    <t>Здійснення природоохоронних заходів</t>
  </si>
  <si>
    <t>0511</t>
  </si>
  <si>
    <t>Державна служба геології та надр України</t>
  </si>
  <si>
    <t>0441</t>
  </si>
  <si>
    <t>Керівництво та управління у сфері геологічного вивчення та використання надр</t>
  </si>
  <si>
    <t>0444</t>
  </si>
  <si>
    <t>Розвиток мінерально-сировинної бази</t>
  </si>
  <si>
    <t>Державна екологічна інспекція України</t>
  </si>
  <si>
    <t>Керівництво та управління у сфері екологічного контролю</t>
  </si>
  <si>
    <t>Національна комісія з радіаційного захисту населення України</t>
  </si>
  <si>
    <t>Керівництво та управління у сфері радіаційного захисту населення</t>
  </si>
  <si>
    <t>Державне агентство водних ресурсів України</t>
  </si>
  <si>
    <t>0421</t>
  </si>
  <si>
    <t>Керівництво та управління у сфері водного господарства</t>
  </si>
  <si>
    <t>0482</t>
  </si>
  <si>
    <t>Прикладні наукові та науково-технічні розробки, виконання робіт за державним замовленням у сфері розвитку водного господарства</t>
  </si>
  <si>
    <t>Підвищення кваліфікації кадрів у сфері водного господарства</t>
  </si>
  <si>
    <t>Експлуатація державного водогосподарського комплексу та управління водними ресурсами</t>
  </si>
  <si>
    <t>Захист від шкідливої дії вод сільських населених пунктів та сільськогосподарських угідь, в тому числі в басейні р. Тиса у Закарпатській області</t>
  </si>
  <si>
    <t>Державне агентство України з управління зоною відчуження</t>
  </si>
  <si>
    <t>0513</t>
  </si>
  <si>
    <t>Керівництво та управління діяльністю у зоні відчуження</t>
  </si>
  <si>
    <t>Внески України до Чорнобильського фонду "Укриття" та до рахунку ядерної безпеки ЄБРР</t>
  </si>
  <si>
    <t>Радіологічний захист населення та екологічне оздоровлення території, що зазнала радіоактивного забруднення</t>
  </si>
  <si>
    <t>Наукове забезпечення робіт та інформаційні системи щодо ліквідації наслідків Чорнобильської катастрофи</t>
  </si>
  <si>
    <t>0512</t>
  </si>
  <si>
    <t>Підтримка екологічно безпечного стану у зонах відчуження і безумовного (обов'язкового) відселення</t>
  </si>
  <si>
    <t>Підтримка у безпечному стані енергоблоків та об'єкта "Укриття" та заходи щодо підготовки до зняття з експлуатації Чорнобильської АЕС</t>
  </si>
  <si>
    <t>Начальник відділу бухгалтерського обліку та фінансової звітності - головний бухгалтер</t>
  </si>
  <si>
    <t>С.А. Руренко</t>
  </si>
  <si>
    <t>план на 
2014 рік 
з 
урахуванням 
внесених 
змін</t>
  </si>
  <si>
    <t>касове 
виконання 
за 
2014 рік</t>
  </si>
  <si>
    <t>ІНФОРМАЦІЯ 
про бюджет за бюджетними програмами з деталізацією за кодами економічної 
класифікації видатків бюджету або класифікації кредитування бюджету</t>
  </si>
  <si>
    <t>Здійснення заходів щодо реалізації пріоритетів розвитку сфери охорони навколишнього природного середовища</t>
  </si>
  <si>
    <t>Зміцнення матеріально-технічної бази і методологічне забезпечення Державної екологічної інспекції України та її територіальних органів</t>
  </si>
  <si>
    <t>Виконання боргових зобов'язань за кредитом, залученим ДП "Львівська обласна дирекція з протипаводкового захисту" під державну гарантію</t>
  </si>
  <si>
    <t>за 2015 рік</t>
  </si>
  <si>
    <t>Внески України до бюджетів Рамкової конвенції ООН про зміну клімату, Кіотського протоколу та Міжнародного журналу транзакцій</t>
  </si>
  <si>
    <t>Забезпечення діяльності Національного центру обліку викидів парникових газів</t>
  </si>
  <si>
    <t>Державне агентство екологічних інвестицій України</t>
  </si>
  <si>
    <t>Керівництво та управління у сфері екологічних інвестицій</t>
  </si>
  <si>
    <t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t>
  </si>
  <si>
    <t>Виконання робіт у сфері поводження з радіоактивними відходами неядерного циклу, будівництво комплексу "Вектор" та експлуатація його об'єктів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</si>
</sst>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2" applyNumberFormat="0" applyAlignment="0" applyProtection="0"/>
    <xf numFmtId="0" fontId="8" fillId="20" borderId="13" applyNumberFormat="0" applyAlignment="0" applyProtection="0"/>
    <xf numFmtId="0" fontId="9" fillId="20" borderId="12" applyNumberFormat="0" applyAlignment="0" applyProtection="0"/>
    <xf numFmtId="0" fontId="10" fillId="0" borderId="0"/>
    <xf numFmtId="0" fontId="11" fillId="0" borderId="14" applyNumberFormat="0" applyFill="0" applyAlignment="0" applyProtection="0"/>
    <xf numFmtId="0" fontId="12" fillId="21" borderId="15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3" borderId="16" applyNumberFormat="0" applyFont="0" applyAlignment="0" applyProtection="0"/>
    <xf numFmtId="0" fontId="18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86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22" fillId="0" borderId="0" xfId="0" applyFont="1"/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164" fontId="22" fillId="0" borderId="0" xfId="0" applyNumberFormat="1" applyFont="1" applyFill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" fontId="22" fillId="0" borderId="5" xfId="0" applyNumberFormat="1" applyFont="1" applyFill="1" applyBorder="1" applyAlignment="1">
      <alignment horizontal="center" vertical="center"/>
    </xf>
    <xf numFmtId="164" fontId="22" fillId="0" borderId="5" xfId="0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/>
    </xf>
    <xf numFmtId="164" fontId="21" fillId="0" borderId="11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164" fontId="21" fillId="0" borderId="6" xfId="0" applyNumberFormat="1" applyFont="1" applyFill="1" applyBorder="1" applyAlignment="1">
      <alignment horizontal="center" vertical="center"/>
    </xf>
    <xf numFmtId="164" fontId="21" fillId="0" borderId="30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49" fontId="21" fillId="0" borderId="21" xfId="0" applyNumberFormat="1" applyFont="1" applyFill="1" applyBorder="1" applyAlignment="1">
      <alignment horizontal="center" vertical="center"/>
    </xf>
    <xf numFmtId="49" fontId="21" fillId="0" borderId="22" xfId="0" applyNumberFormat="1" applyFont="1" applyFill="1" applyBorder="1" applyAlignment="1">
      <alignment horizontal="center" vertical="center"/>
    </xf>
    <xf numFmtId="49" fontId="21" fillId="0" borderId="23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4" fillId="0" borderId="24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8" xfId="0" applyNumberFormat="1" applyFont="1" applyFill="1" applyBorder="1" applyAlignment="1">
      <alignment horizontal="center" vertical="center" wrapText="1"/>
    </xf>
    <xf numFmtId="1" fontId="24" fillId="0" borderId="9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</cellXfs>
  <cellStyles count="4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вичайний" xfId="0" builtinId="0"/>
    <cellStyle name="Звичайний 2" xfId="28"/>
    <cellStyle name="Итог" xfId="29"/>
    <cellStyle name="Контрольная ячейка" xfId="30"/>
    <cellStyle name="Название" xfId="31"/>
    <cellStyle name="Нейтральный" xfId="32"/>
    <cellStyle name="Обычный_Dod5kochtor" xfId="33"/>
    <cellStyle name="Плохой" xfId="34"/>
    <cellStyle name="Пояснение" xfId="35"/>
    <cellStyle name="Примечание" xfId="36"/>
    <cellStyle name="Связанная ячейка" xfId="37"/>
    <cellStyle name="Текст предупреждения" xfId="38"/>
    <cellStyle name="Хороший" xfId="3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E4EED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9"/>
  <sheetViews>
    <sheetView tabSelected="1" view="pageBreakPreview" topLeftCell="A7" zoomScaleNormal="100" zoomScaleSheetLayoutView="100" workbookViewId="0">
      <pane xSplit="2" ySplit="6" topLeftCell="C340" activePane="bottomRight" state="frozen"/>
      <selection activeCell="A7" sqref="A7"/>
      <selection pane="topRight" activeCell="C7" sqref="C7"/>
      <selection pane="bottomLeft" activeCell="A13" sqref="A13"/>
      <selection pane="bottomRight" activeCell="C339" sqref="C339"/>
    </sheetView>
  </sheetViews>
  <sheetFormatPr defaultRowHeight="15"/>
  <cols>
    <col min="1" max="1" width="23.85546875" customWidth="1"/>
    <col min="2" max="2" width="15.5703125" customWidth="1"/>
    <col min="3" max="3" width="15.85546875" customWidth="1"/>
    <col min="4" max="9" width="14.85546875" style="7" customWidth="1"/>
    <col min="10" max="10" width="9.140625" customWidth="1"/>
  </cols>
  <sheetData>
    <row r="1" spans="1:9">
      <c r="H1" s="67" t="s">
        <v>0</v>
      </c>
      <c r="I1" s="67"/>
    </row>
    <row r="2" spans="1:9" ht="38.25" customHeight="1">
      <c r="F2" s="68" t="s">
        <v>1</v>
      </c>
      <c r="G2" s="68"/>
      <c r="H2" s="69"/>
      <c r="I2" s="8"/>
    </row>
    <row r="4" spans="1:9" ht="50.25" customHeight="1">
      <c r="A4" s="70" t="s">
        <v>50</v>
      </c>
      <c r="B4" s="70"/>
      <c r="C4" s="70"/>
      <c r="D4" s="70"/>
      <c r="E4" s="70"/>
      <c r="F4" s="70"/>
      <c r="G4" s="70"/>
      <c r="H4" s="70"/>
      <c r="I4" s="9"/>
    </row>
    <row r="5" spans="1:9" ht="9" customHeight="1"/>
    <row r="6" spans="1:9" ht="15.75">
      <c r="A6" s="71" t="s">
        <v>2</v>
      </c>
      <c r="B6" s="71"/>
      <c r="C6" s="71"/>
      <c r="D6" s="71"/>
      <c r="E6" s="71"/>
      <c r="F6" s="71"/>
      <c r="G6" s="71"/>
      <c r="H6" s="71"/>
      <c r="I6" s="10"/>
    </row>
    <row r="7" spans="1:9">
      <c r="A7" s="72" t="s">
        <v>3</v>
      </c>
      <c r="B7" s="72"/>
      <c r="C7" s="72"/>
      <c r="D7" s="72"/>
      <c r="E7" s="72"/>
      <c r="F7" s="72"/>
      <c r="G7" s="72"/>
      <c r="H7" s="72"/>
      <c r="I7" s="11"/>
    </row>
    <row r="8" spans="1:9" ht="15.75">
      <c r="A8" s="73" t="s">
        <v>54</v>
      </c>
      <c r="B8" s="73"/>
      <c r="C8" s="73"/>
      <c r="D8" s="73"/>
      <c r="E8" s="73"/>
      <c r="F8" s="73"/>
      <c r="G8" s="73"/>
      <c r="H8" s="73"/>
      <c r="I8" s="12"/>
    </row>
    <row r="9" spans="1:9" ht="15.75" thickBot="1">
      <c r="I9" s="13" t="s">
        <v>4</v>
      </c>
    </row>
    <row r="10" spans="1:9" s="1" customFormat="1" ht="45.75" customHeight="1">
      <c r="A10" s="59" t="s">
        <v>5</v>
      </c>
      <c r="B10" s="61" t="s">
        <v>6</v>
      </c>
      <c r="C10" s="63" t="s">
        <v>7</v>
      </c>
      <c r="D10" s="64" t="s">
        <v>8</v>
      </c>
      <c r="E10" s="64"/>
      <c r="F10" s="64" t="s">
        <v>9</v>
      </c>
      <c r="G10" s="64"/>
      <c r="H10" s="65" t="s">
        <v>10</v>
      </c>
      <c r="I10" s="66"/>
    </row>
    <row r="11" spans="1:9" s="1" customFormat="1" ht="90.75" customHeight="1">
      <c r="A11" s="60"/>
      <c r="B11" s="62"/>
      <c r="C11" s="62"/>
      <c r="D11" s="24" t="s">
        <v>48</v>
      </c>
      <c r="E11" s="24" t="s">
        <v>49</v>
      </c>
      <c r="F11" s="24" t="s">
        <v>48</v>
      </c>
      <c r="G11" s="24" t="s">
        <v>49</v>
      </c>
      <c r="H11" s="24" t="s">
        <v>48</v>
      </c>
      <c r="I11" s="25" t="s">
        <v>49</v>
      </c>
    </row>
    <row r="12" spans="1:9" s="1" customFormat="1">
      <c r="A12" s="26">
        <v>1</v>
      </c>
      <c r="B12" s="27">
        <v>2</v>
      </c>
      <c r="C12" s="27">
        <v>3</v>
      </c>
      <c r="D12" s="28">
        <v>4</v>
      </c>
      <c r="E12" s="28">
        <v>5</v>
      </c>
      <c r="F12" s="28">
        <v>6</v>
      </c>
      <c r="G12" s="28">
        <v>7</v>
      </c>
      <c r="H12" s="28">
        <v>8</v>
      </c>
      <c r="I12" s="29">
        <v>9</v>
      </c>
    </row>
    <row r="13" spans="1:9" s="1" customFormat="1" ht="44.25" customHeight="1">
      <c r="A13" s="74">
        <v>2400000</v>
      </c>
      <c r="B13" s="75"/>
      <c r="C13" s="76" t="s">
        <v>2</v>
      </c>
      <c r="D13" s="77"/>
      <c r="E13" s="77"/>
      <c r="F13" s="77"/>
      <c r="G13" s="77"/>
      <c r="H13" s="77"/>
      <c r="I13" s="78"/>
    </row>
    <row r="14" spans="1:9" s="1" customFormat="1" ht="15.75" customHeight="1">
      <c r="A14" s="74"/>
      <c r="B14" s="75"/>
      <c r="C14" s="17">
        <v>2110</v>
      </c>
      <c r="D14" s="20">
        <f>D35+D133+D157+D184+D216+D224+D300</f>
        <v>785550.70000000007</v>
      </c>
      <c r="E14" s="20">
        <f t="shared" ref="E14:G14" si="0">E35+E133+E157+E184+E216+E224+E300</f>
        <v>785294.20000000007</v>
      </c>
      <c r="F14" s="20">
        <f t="shared" si="0"/>
        <v>92584.1</v>
      </c>
      <c r="G14" s="20">
        <f t="shared" si="0"/>
        <v>88134.900000000009</v>
      </c>
      <c r="H14" s="20">
        <f>D14+F14</f>
        <v>878134.8</v>
      </c>
      <c r="I14" s="30">
        <f>E14+G14</f>
        <v>873429.10000000009</v>
      </c>
    </row>
    <row r="15" spans="1:9" s="1" customFormat="1" ht="15.75" customHeight="1">
      <c r="A15" s="74"/>
      <c r="B15" s="75"/>
      <c r="C15" s="17">
        <v>2120</v>
      </c>
      <c r="D15" s="20">
        <f>D36+D134+D158+D185+D217+D225+D301</f>
        <v>280166.10000000003</v>
      </c>
      <c r="E15" s="20">
        <f t="shared" ref="E15:G15" si="1">E36+E134+E158+E185+E217+E225+E301</f>
        <v>278575.80000000005</v>
      </c>
      <c r="F15" s="20">
        <f t="shared" si="1"/>
        <v>33386.9</v>
      </c>
      <c r="G15" s="20">
        <f t="shared" si="1"/>
        <v>31269.9</v>
      </c>
      <c r="H15" s="20">
        <f t="shared" ref="H15:I33" si="2">D15+F15</f>
        <v>313553.00000000006</v>
      </c>
      <c r="I15" s="30">
        <f t="shared" si="2"/>
        <v>309845.70000000007</v>
      </c>
    </row>
    <row r="16" spans="1:9" s="1" customFormat="1" ht="15.75" customHeight="1">
      <c r="A16" s="74"/>
      <c r="B16" s="75"/>
      <c r="C16" s="17">
        <v>2210</v>
      </c>
      <c r="D16" s="20">
        <f>D37+D135+D159+D186+D218+D226+D302</f>
        <v>11491.399999999998</v>
      </c>
      <c r="E16" s="20">
        <f t="shared" ref="E16:G16" si="3">E37+E135+E159+E186+E218+E226+E302</f>
        <v>11397.5</v>
      </c>
      <c r="F16" s="20">
        <f t="shared" si="3"/>
        <v>150869.69999999998</v>
      </c>
      <c r="G16" s="20">
        <f t="shared" si="3"/>
        <v>140267.29999999999</v>
      </c>
      <c r="H16" s="20">
        <f t="shared" si="2"/>
        <v>162361.09999999998</v>
      </c>
      <c r="I16" s="30">
        <f t="shared" si="2"/>
        <v>151664.79999999999</v>
      </c>
    </row>
    <row r="17" spans="1:9" s="1" customFormat="1" ht="15.75" customHeight="1">
      <c r="A17" s="74"/>
      <c r="B17" s="75"/>
      <c r="C17" s="17">
        <v>2220</v>
      </c>
      <c r="D17" s="20">
        <f>D38+D227</f>
        <v>3</v>
      </c>
      <c r="E17" s="20">
        <f t="shared" ref="E17:G17" si="4">E38+E227</f>
        <v>3</v>
      </c>
      <c r="F17" s="20">
        <f t="shared" si="4"/>
        <v>84.7</v>
      </c>
      <c r="G17" s="20">
        <f t="shared" si="4"/>
        <v>83.8</v>
      </c>
      <c r="H17" s="20">
        <f t="shared" si="2"/>
        <v>87.7</v>
      </c>
      <c r="I17" s="30">
        <f t="shared" si="2"/>
        <v>86.8</v>
      </c>
    </row>
    <row r="18" spans="1:9" s="1" customFormat="1" ht="15.75" customHeight="1">
      <c r="A18" s="74"/>
      <c r="B18" s="75"/>
      <c r="C18" s="17">
        <v>2230</v>
      </c>
      <c r="D18" s="20">
        <f>D228</f>
        <v>267</v>
      </c>
      <c r="E18" s="20">
        <f t="shared" ref="E18:G18" si="5">E228</f>
        <v>264.39999999999998</v>
      </c>
      <c r="F18" s="20">
        <f t="shared" si="5"/>
        <v>544.1</v>
      </c>
      <c r="G18" s="20">
        <f t="shared" si="5"/>
        <v>356.6</v>
      </c>
      <c r="H18" s="20">
        <f t="shared" si="2"/>
        <v>811.1</v>
      </c>
      <c r="I18" s="30">
        <f t="shared" si="2"/>
        <v>621</v>
      </c>
    </row>
    <row r="19" spans="1:9" s="1" customFormat="1" ht="15.75" customHeight="1">
      <c r="A19" s="74"/>
      <c r="B19" s="75"/>
      <c r="C19" s="17">
        <v>2240</v>
      </c>
      <c r="D19" s="20">
        <f>D39+D136+D160+D187+D219+D229+D303</f>
        <v>9981.8000000000011</v>
      </c>
      <c r="E19" s="20">
        <f t="shared" ref="E19:G19" si="6">E39+E136+E160+E187+E219+E229+E303</f>
        <v>9548</v>
      </c>
      <c r="F19" s="20">
        <f t="shared" si="6"/>
        <v>115680.3</v>
      </c>
      <c r="G19" s="20">
        <f t="shared" si="6"/>
        <v>82538.299999999988</v>
      </c>
      <c r="H19" s="20">
        <f t="shared" si="2"/>
        <v>125662.1</v>
      </c>
      <c r="I19" s="30">
        <f t="shared" si="2"/>
        <v>92086.299999999988</v>
      </c>
    </row>
    <row r="20" spans="1:9" s="1" customFormat="1" ht="15.75" customHeight="1">
      <c r="A20" s="74"/>
      <c r="B20" s="75"/>
      <c r="C20" s="17">
        <v>2250</v>
      </c>
      <c r="D20" s="20">
        <f>D40+D137+D161+D188+D230+D304</f>
        <v>3141.7</v>
      </c>
      <c r="E20" s="20">
        <f t="shared" ref="E20:G20" si="7">E40+E137+E161+E188+E230+E304</f>
        <v>2701.7999999999997</v>
      </c>
      <c r="F20" s="20">
        <f t="shared" si="7"/>
        <v>5162.5999999999995</v>
      </c>
      <c r="G20" s="20">
        <f t="shared" si="7"/>
        <v>3959.9999999999995</v>
      </c>
      <c r="H20" s="20">
        <f t="shared" si="2"/>
        <v>8304.2999999999993</v>
      </c>
      <c r="I20" s="30">
        <f t="shared" si="2"/>
        <v>6661.7999999999993</v>
      </c>
    </row>
    <row r="21" spans="1:9" s="1" customFormat="1" ht="15.75" customHeight="1">
      <c r="A21" s="74"/>
      <c r="B21" s="75"/>
      <c r="C21" s="17">
        <v>2270</v>
      </c>
      <c r="D21" s="20">
        <f>D41+D138+D162+D189+D220+D305+D231</f>
        <v>201758.1</v>
      </c>
      <c r="E21" s="20">
        <f t="shared" ref="E21:G21" si="8">E41+E138+E162+E189+E220+E305+E231</f>
        <v>199361</v>
      </c>
      <c r="F21" s="20">
        <f t="shared" si="8"/>
        <v>602358.80000000005</v>
      </c>
      <c r="G21" s="20">
        <f t="shared" si="8"/>
        <v>599269.79999999993</v>
      </c>
      <c r="H21" s="20">
        <f t="shared" si="2"/>
        <v>804116.9</v>
      </c>
      <c r="I21" s="30">
        <f t="shared" si="2"/>
        <v>798630.79999999993</v>
      </c>
    </row>
    <row r="22" spans="1:9" s="1" customFormat="1" ht="15.75" customHeight="1">
      <c r="A22" s="74"/>
      <c r="B22" s="75"/>
      <c r="C22" s="17">
        <v>2281</v>
      </c>
      <c r="D22" s="20">
        <f>D42+D139+D163+D190+D232+D306</f>
        <v>350858.5</v>
      </c>
      <c r="E22" s="20">
        <f t="shared" ref="E22:G22" si="9">E42+E139+E163+E190+E232+E306</f>
        <v>322366.2</v>
      </c>
      <c r="F22" s="20">
        <f t="shared" si="9"/>
        <v>77632.7</v>
      </c>
      <c r="G22" s="20">
        <f t="shared" si="9"/>
        <v>43145</v>
      </c>
      <c r="H22" s="20">
        <f t="shared" si="2"/>
        <v>428491.2</v>
      </c>
      <c r="I22" s="30">
        <f t="shared" si="2"/>
        <v>365511.2</v>
      </c>
    </row>
    <row r="23" spans="1:9" s="1" customFormat="1" ht="15.75" customHeight="1">
      <c r="A23" s="74"/>
      <c r="B23" s="75"/>
      <c r="C23" s="17">
        <v>2282</v>
      </c>
      <c r="D23" s="20">
        <f>D43+D140+D164+D191+D233+D307</f>
        <v>217.4</v>
      </c>
      <c r="E23" s="20">
        <f t="shared" ref="E23:G23" si="10">E43+E140+E164+E191+E233+E307</f>
        <v>172.8</v>
      </c>
      <c r="F23" s="20">
        <f t="shared" si="10"/>
        <v>1667.3</v>
      </c>
      <c r="G23" s="20">
        <f t="shared" si="10"/>
        <v>522</v>
      </c>
      <c r="H23" s="20">
        <f t="shared" si="2"/>
        <v>1884.7</v>
      </c>
      <c r="I23" s="30">
        <f t="shared" si="2"/>
        <v>694.8</v>
      </c>
    </row>
    <row r="24" spans="1:9" s="1" customFormat="1" ht="15.75" customHeight="1">
      <c r="A24" s="74"/>
      <c r="B24" s="75"/>
      <c r="C24" s="17">
        <v>2600</v>
      </c>
      <c r="D24" s="20">
        <f>D44+D234+D308</f>
        <v>1390089.3</v>
      </c>
      <c r="E24" s="20">
        <f t="shared" ref="E24:G24" si="11">E44+E234+E308</f>
        <v>1365934</v>
      </c>
      <c r="F24" s="20">
        <f t="shared" si="11"/>
        <v>196834.2</v>
      </c>
      <c r="G24" s="20">
        <f t="shared" si="11"/>
        <v>195782.9</v>
      </c>
      <c r="H24" s="20">
        <f t="shared" si="2"/>
        <v>1586923.5</v>
      </c>
      <c r="I24" s="30">
        <f t="shared" si="2"/>
        <v>1561716.9</v>
      </c>
    </row>
    <row r="25" spans="1:9" s="1" customFormat="1" ht="15.75" customHeight="1">
      <c r="A25" s="74"/>
      <c r="B25" s="75"/>
      <c r="C25" s="17">
        <v>2700</v>
      </c>
      <c r="D25" s="20">
        <f>D45+D235</f>
        <v>633.1</v>
      </c>
      <c r="E25" s="20">
        <f t="shared" ref="E25:G25" si="12">E45+E235</f>
        <v>623.6</v>
      </c>
      <c r="F25" s="20">
        <f t="shared" si="12"/>
        <v>419.6</v>
      </c>
      <c r="G25" s="20">
        <f t="shared" si="12"/>
        <v>345.09999999999997</v>
      </c>
      <c r="H25" s="20">
        <f t="shared" si="2"/>
        <v>1052.7</v>
      </c>
      <c r="I25" s="30">
        <f t="shared" si="2"/>
        <v>968.7</v>
      </c>
    </row>
    <row r="26" spans="1:9" s="1" customFormat="1" ht="15.75" customHeight="1">
      <c r="A26" s="74"/>
      <c r="B26" s="75"/>
      <c r="C26" s="17">
        <v>2800</v>
      </c>
      <c r="D26" s="20">
        <f>D46+D141+D165+D192+D221+D236</f>
        <v>965.3</v>
      </c>
      <c r="E26" s="20">
        <f t="shared" ref="E26:G26" si="13">E46+E141+E165+E192+E221+E236</f>
        <v>901.3</v>
      </c>
      <c r="F26" s="20">
        <f t="shared" si="13"/>
        <v>74766.8</v>
      </c>
      <c r="G26" s="20">
        <f t="shared" si="13"/>
        <v>70062.7</v>
      </c>
      <c r="H26" s="20">
        <f t="shared" si="2"/>
        <v>75732.100000000006</v>
      </c>
      <c r="I26" s="30">
        <f t="shared" si="2"/>
        <v>70964</v>
      </c>
    </row>
    <row r="27" spans="1:9" s="1" customFormat="1" ht="15.75" customHeight="1">
      <c r="A27" s="74"/>
      <c r="B27" s="75"/>
      <c r="C27" s="17">
        <v>3110</v>
      </c>
      <c r="D27" s="20">
        <f>D47+D142+D166+D193+D237+D309</f>
        <v>838</v>
      </c>
      <c r="E27" s="20">
        <f t="shared" ref="E27:G27" si="14">E47+E142+E166+E193+E237+E309</f>
        <v>757</v>
      </c>
      <c r="F27" s="20">
        <f t="shared" si="14"/>
        <v>53295.3</v>
      </c>
      <c r="G27" s="20">
        <f t="shared" si="14"/>
        <v>32986.200000000004</v>
      </c>
      <c r="H27" s="20">
        <f t="shared" si="2"/>
        <v>54133.3</v>
      </c>
      <c r="I27" s="30">
        <f t="shared" si="2"/>
        <v>33743.200000000004</v>
      </c>
    </row>
    <row r="28" spans="1:9" s="1" customFormat="1" ht="15.75" customHeight="1">
      <c r="A28" s="74"/>
      <c r="B28" s="75"/>
      <c r="C28" s="17">
        <v>3120</v>
      </c>
      <c r="D28" s="20">
        <f>D48+D238</f>
        <v>173553.9</v>
      </c>
      <c r="E28" s="20">
        <f t="shared" ref="E28:G28" si="15">E48+E238</f>
        <v>132680.6</v>
      </c>
      <c r="F28" s="20">
        <f t="shared" si="15"/>
        <v>309858.59999999998</v>
      </c>
      <c r="G28" s="20">
        <f t="shared" si="15"/>
        <v>93227.8</v>
      </c>
      <c r="H28" s="20">
        <f t="shared" si="2"/>
        <v>483412.5</v>
      </c>
      <c r="I28" s="30">
        <f t="shared" si="2"/>
        <v>225908.40000000002</v>
      </c>
    </row>
    <row r="29" spans="1:9" s="1" customFormat="1" ht="15.75" customHeight="1">
      <c r="A29" s="74"/>
      <c r="B29" s="75"/>
      <c r="C29" s="17">
        <v>3130</v>
      </c>
      <c r="D29" s="20">
        <f>D49+D239</f>
        <v>17057.2</v>
      </c>
      <c r="E29" s="20">
        <f t="shared" ref="E29:G29" si="16">E49+E239</f>
        <v>4890.7</v>
      </c>
      <c r="F29" s="20">
        <f t="shared" si="16"/>
        <v>103940.79999999999</v>
      </c>
      <c r="G29" s="20">
        <f t="shared" si="16"/>
        <v>74165.5</v>
      </c>
      <c r="H29" s="20">
        <f t="shared" si="2"/>
        <v>120997.99999999999</v>
      </c>
      <c r="I29" s="30">
        <f t="shared" si="2"/>
        <v>79056.2</v>
      </c>
    </row>
    <row r="30" spans="1:9" s="1" customFormat="1" ht="15.75" customHeight="1">
      <c r="A30" s="74"/>
      <c r="B30" s="75"/>
      <c r="C30" s="17">
        <v>3140</v>
      </c>
      <c r="D30" s="20">
        <f>D50+D240</f>
        <v>26019.7</v>
      </c>
      <c r="E30" s="20">
        <f t="shared" ref="E30:G30" si="17">E50+E240</f>
        <v>16233.5</v>
      </c>
      <c r="F30" s="20">
        <f t="shared" si="17"/>
        <v>722230.10000000009</v>
      </c>
      <c r="G30" s="20">
        <f t="shared" si="17"/>
        <v>616055.5</v>
      </c>
      <c r="H30" s="20">
        <f t="shared" si="2"/>
        <v>748249.8</v>
      </c>
      <c r="I30" s="30">
        <f t="shared" si="2"/>
        <v>632289</v>
      </c>
    </row>
    <row r="31" spans="1:9" s="1" customFormat="1" ht="15.75" customHeight="1">
      <c r="A31" s="74"/>
      <c r="B31" s="75"/>
      <c r="C31" s="17">
        <v>3160</v>
      </c>
      <c r="D31" s="20">
        <f>D51+D194+D241</f>
        <v>1000</v>
      </c>
      <c r="E31" s="20">
        <f t="shared" ref="E31:G31" si="18">E51+E194+E241</f>
        <v>0</v>
      </c>
      <c r="F31" s="20">
        <f t="shared" si="18"/>
        <v>0</v>
      </c>
      <c r="G31" s="20">
        <f t="shared" si="18"/>
        <v>0</v>
      </c>
      <c r="H31" s="20">
        <f t="shared" si="2"/>
        <v>1000</v>
      </c>
      <c r="I31" s="30">
        <f t="shared" si="2"/>
        <v>0</v>
      </c>
    </row>
    <row r="32" spans="1:9" s="1" customFormat="1" ht="15.75" customHeight="1">
      <c r="A32" s="74"/>
      <c r="B32" s="75"/>
      <c r="C32" s="17">
        <v>3210</v>
      </c>
      <c r="D32" s="20">
        <f>D52+D242+D310</f>
        <v>282148.09999999998</v>
      </c>
      <c r="E32" s="20">
        <f t="shared" ref="E32:G32" si="19">E52+E242+E310</f>
        <v>226780.6</v>
      </c>
      <c r="F32" s="20">
        <f t="shared" si="19"/>
        <v>151017</v>
      </c>
      <c r="G32" s="20">
        <f t="shared" si="19"/>
        <v>128306.1</v>
      </c>
      <c r="H32" s="20">
        <f t="shared" si="2"/>
        <v>433165.1</v>
      </c>
      <c r="I32" s="30">
        <f t="shared" si="2"/>
        <v>355086.7</v>
      </c>
    </row>
    <row r="33" spans="1:9" s="1" customFormat="1" ht="15.75" customHeight="1">
      <c r="A33" s="74"/>
      <c r="B33" s="75"/>
      <c r="C33" s="19" t="s">
        <v>10</v>
      </c>
      <c r="D33" s="20">
        <f>SUM(D14:D32)</f>
        <v>3535740.3000000003</v>
      </c>
      <c r="E33" s="20">
        <f t="shared" ref="E33" si="20">SUM(E14:E32)</f>
        <v>3358486.0000000005</v>
      </c>
      <c r="F33" s="20">
        <f>SUM(F14:F32)</f>
        <v>2692333.6000000006</v>
      </c>
      <c r="G33" s="20">
        <f>SUM(G14:G32)</f>
        <v>2200479.4</v>
      </c>
      <c r="H33" s="20">
        <f t="shared" si="2"/>
        <v>6228073.9000000004</v>
      </c>
      <c r="I33" s="30">
        <f t="shared" si="2"/>
        <v>5558965.4000000004</v>
      </c>
    </row>
    <row r="34" spans="1:9" s="1" customFormat="1" ht="31.5" customHeight="1">
      <c r="A34" s="42">
        <v>2401000</v>
      </c>
      <c r="B34" s="43"/>
      <c r="C34" s="79" t="s">
        <v>11</v>
      </c>
      <c r="D34" s="80"/>
      <c r="E34" s="80"/>
      <c r="F34" s="80"/>
      <c r="G34" s="80"/>
      <c r="H34" s="80"/>
      <c r="I34" s="81"/>
    </row>
    <row r="35" spans="1:9" s="1" customFormat="1" ht="15.75" customHeight="1">
      <c r="A35" s="44"/>
      <c r="B35" s="45"/>
      <c r="C35" s="17">
        <v>2110</v>
      </c>
      <c r="D35" s="20">
        <f>D55+D72+D84+D119</f>
        <v>107812.9</v>
      </c>
      <c r="E35" s="20">
        <f t="shared" ref="E35:G35" si="21">E55+E72+E84+E119</f>
        <v>107671.29999999999</v>
      </c>
      <c r="F35" s="20">
        <f>F55+F72+F84+F119</f>
        <v>8143.7999999999993</v>
      </c>
      <c r="G35" s="20">
        <f t="shared" si="21"/>
        <v>8069.6</v>
      </c>
      <c r="H35" s="20">
        <f>D35+F35</f>
        <v>115956.7</v>
      </c>
      <c r="I35" s="30">
        <f>E35+G35</f>
        <v>115740.9</v>
      </c>
    </row>
    <row r="36" spans="1:9" s="1" customFormat="1" ht="15.75" customHeight="1">
      <c r="A36" s="44"/>
      <c r="B36" s="45"/>
      <c r="C36" s="17">
        <v>2120</v>
      </c>
      <c r="D36" s="20">
        <f>D56+D73+D85+D120</f>
        <v>38984.199999999997</v>
      </c>
      <c r="E36" s="20">
        <f t="shared" ref="E36:G36" si="22">E56+E73+E85+E120</f>
        <v>38375.5</v>
      </c>
      <c r="F36" s="20">
        <f>F56+F73+F85+F120</f>
        <v>2853.4</v>
      </c>
      <c r="G36" s="20">
        <f t="shared" si="22"/>
        <v>2692.1</v>
      </c>
      <c r="H36" s="20">
        <f t="shared" ref="H36:I52" si="23">D36+F36</f>
        <v>41837.599999999999</v>
      </c>
      <c r="I36" s="30">
        <f t="shared" si="23"/>
        <v>41067.599999999999</v>
      </c>
    </row>
    <row r="37" spans="1:9" s="1" customFormat="1" ht="15.75" customHeight="1">
      <c r="A37" s="44"/>
      <c r="B37" s="45"/>
      <c r="C37" s="17">
        <v>2210</v>
      </c>
      <c r="D37" s="20">
        <f>D57+D74+D86+D104+D121</f>
        <v>4275.7</v>
      </c>
      <c r="E37" s="20">
        <f t="shared" ref="E37:G37" si="24">E57+E74+E86+E104+E121</f>
        <v>4188.9000000000005</v>
      </c>
      <c r="F37" s="20">
        <f>F57+F74+F86+F104+F121</f>
        <v>12829.2</v>
      </c>
      <c r="G37" s="20">
        <f t="shared" si="24"/>
        <v>6936.2</v>
      </c>
      <c r="H37" s="20">
        <f t="shared" si="23"/>
        <v>17104.900000000001</v>
      </c>
      <c r="I37" s="30">
        <f t="shared" si="23"/>
        <v>11125.1</v>
      </c>
    </row>
    <row r="38" spans="1:9" s="1" customFormat="1" ht="15.75" customHeight="1">
      <c r="A38" s="44"/>
      <c r="B38" s="45"/>
      <c r="C38" s="17">
        <v>2220</v>
      </c>
      <c r="D38" s="20">
        <f>D87</f>
        <v>0</v>
      </c>
      <c r="E38" s="20">
        <f t="shared" ref="E38:G38" si="25">E87</f>
        <v>0</v>
      </c>
      <c r="F38" s="20">
        <f>F87</f>
        <v>11.4</v>
      </c>
      <c r="G38" s="20">
        <f t="shared" si="25"/>
        <v>10.6</v>
      </c>
      <c r="H38" s="20">
        <f t="shared" si="23"/>
        <v>11.4</v>
      </c>
      <c r="I38" s="30">
        <f t="shared" si="23"/>
        <v>10.6</v>
      </c>
    </row>
    <row r="39" spans="1:9" s="1" customFormat="1" ht="15.75" customHeight="1">
      <c r="A39" s="44"/>
      <c r="B39" s="45"/>
      <c r="C39" s="17">
        <v>2240</v>
      </c>
      <c r="D39" s="20">
        <f>D58+D75+D88+D105+D115+D122+D126</f>
        <v>2367.2000000000003</v>
      </c>
      <c r="E39" s="20">
        <f t="shared" ref="E39:G39" si="26">E58+E75+E88+E105+E115+E122+E126</f>
        <v>2005.3999999999999</v>
      </c>
      <c r="F39" s="20">
        <f>F58+F75+F88+F105+F115+F122+F126</f>
        <v>43763.1</v>
      </c>
      <c r="G39" s="20">
        <f t="shared" si="26"/>
        <v>14372.5</v>
      </c>
      <c r="H39" s="20">
        <f t="shared" si="23"/>
        <v>46130.299999999996</v>
      </c>
      <c r="I39" s="30">
        <f t="shared" si="23"/>
        <v>16377.9</v>
      </c>
    </row>
    <row r="40" spans="1:9" s="1" customFormat="1" ht="15.75" customHeight="1">
      <c r="A40" s="44"/>
      <c r="B40" s="45"/>
      <c r="C40" s="17">
        <v>2250</v>
      </c>
      <c r="D40" s="20">
        <f>D59+D76+D89+D127</f>
        <v>939.9</v>
      </c>
      <c r="E40" s="20">
        <f t="shared" ref="E40:G40" si="27">E59+E76+E89+E127</f>
        <v>591.9</v>
      </c>
      <c r="F40" s="20">
        <f>F59+F76+F89+F127</f>
        <v>1261.5999999999999</v>
      </c>
      <c r="G40" s="20">
        <f t="shared" si="27"/>
        <v>362.1</v>
      </c>
      <c r="H40" s="20">
        <f t="shared" si="23"/>
        <v>2201.5</v>
      </c>
      <c r="I40" s="30">
        <f t="shared" si="23"/>
        <v>954</v>
      </c>
    </row>
    <row r="41" spans="1:9" s="1" customFormat="1" ht="15.75" customHeight="1">
      <c r="A41" s="44"/>
      <c r="B41" s="45"/>
      <c r="C41" s="17">
        <v>2270</v>
      </c>
      <c r="D41" s="20">
        <f>D60+D77+D90+D123</f>
        <v>3769.4999999999995</v>
      </c>
      <c r="E41" s="20">
        <f t="shared" ref="E41:G41" si="28">E60+E77+E90+E123</f>
        <v>3084.5</v>
      </c>
      <c r="F41" s="20">
        <f t="shared" si="28"/>
        <v>2776.4</v>
      </c>
      <c r="G41" s="20">
        <f t="shared" si="28"/>
        <v>1998</v>
      </c>
      <c r="H41" s="20">
        <f t="shared" si="23"/>
        <v>6545.9</v>
      </c>
      <c r="I41" s="30">
        <f t="shared" si="23"/>
        <v>5082.5</v>
      </c>
    </row>
    <row r="42" spans="1:9" s="1" customFormat="1" ht="15.75" customHeight="1">
      <c r="A42" s="44"/>
      <c r="B42" s="45"/>
      <c r="C42" s="17">
        <v>2281</v>
      </c>
      <c r="D42" s="20">
        <f>D61+D68+D78+D91+D106</f>
        <v>39972.1</v>
      </c>
      <c r="E42" s="20">
        <f t="shared" ref="E42:G42" si="29">E61+E68+E78+E91+E106</f>
        <v>22046.300000000003</v>
      </c>
      <c r="F42" s="20">
        <f t="shared" si="29"/>
        <v>41922.699999999997</v>
      </c>
      <c r="G42" s="20">
        <f t="shared" si="29"/>
        <v>7925.0000000000009</v>
      </c>
      <c r="H42" s="20">
        <f t="shared" si="23"/>
        <v>81894.799999999988</v>
      </c>
      <c r="I42" s="30">
        <f t="shared" si="23"/>
        <v>29971.300000000003</v>
      </c>
    </row>
    <row r="43" spans="1:9" s="1" customFormat="1" ht="15.75" customHeight="1">
      <c r="A43" s="44"/>
      <c r="B43" s="45"/>
      <c r="C43" s="17">
        <v>2282</v>
      </c>
      <c r="D43" s="20">
        <f>D62+D92+D107</f>
        <v>185.6</v>
      </c>
      <c r="E43" s="20">
        <f t="shared" ref="E43:G43" si="30">E62+E92+E107</f>
        <v>144.6</v>
      </c>
      <c r="F43" s="20">
        <f t="shared" si="30"/>
        <v>1201.5999999999999</v>
      </c>
      <c r="G43" s="20">
        <f t="shared" si="30"/>
        <v>119.9</v>
      </c>
      <c r="H43" s="20">
        <f t="shared" si="23"/>
        <v>1387.1999999999998</v>
      </c>
      <c r="I43" s="30">
        <f t="shared" si="23"/>
        <v>264.5</v>
      </c>
    </row>
    <row r="44" spans="1:9" s="1" customFormat="1" ht="15.75" customHeight="1">
      <c r="A44" s="44"/>
      <c r="B44" s="45"/>
      <c r="C44" s="17">
        <v>2600</v>
      </c>
      <c r="D44" s="20">
        <f>D93+D116+D128</f>
        <v>10107.6</v>
      </c>
      <c r="E44" s="20">
        <f t="shared" ref="E44:G44" si="31">E93+E116+E128</f>
        <v>6659.8</v>
      </c>
      <c r="F44" s="20">
        <f t="shared" si="31"/>
        <v>5427.6</v>
      </c>
      <c r="G44" s="20">
        <f t="shared" si="31"/>
        <v>4378.1000000000004</v>
      </c>
      <c r="H44" s="20">
        <f t="shared" si="23"/>
        <v>15535.2</v>
      </c>
      <c r="I44" s="30">
        <f t="shared" si="23"/>
        <v>11037.900000000001</v>
      </c>
    </row>
    <row r="45" spans="1:9" s="1" customFormat="1" ht="15.75" customHeight="1">
      <c r="A45" s="44"/>
      <c r="B45" s="45"/>
      <c r="C45" s="17">
        <v>2700</v>
      </c>
      <c r="D45" s="20">
        <f>D63+D79+D94</f>
        <v>127.3</v>
      </c>
      <c r="E45" s="20">
        <f t="shared" ref="E45:G45" si="32">E63+E79+E94</f>
        <v>127.3</v>
      </c>
      <c r="F45" s="20">
        <f t="shared" si="32"/>
        <v>30</v>
      </c>
      <c r="G45" s="20">
        <f t="shared" si="32"/>
        <v>30.7</v>
      </c>
      <c r="H45" s="20">
        <f t="shared" si="23"/>
        <v>157.30000000000001</v>
      </c>
      <c r="I45" s="30">
        <f t="shared" si="23"/>
        <v>158</v>
      </c>
    </row>
    <row r="46" spans="1:9" s="1" customFormat="1" ht="15.75" customHeight="1">
      <c r="A46" s="44"/>
      <c r="B46" s="45"/>
      <c r="C46" s="17">
        <v>2800</v>
      </c>
      <c r="D46" s="20">
        <f>D64+D80+D95</f>
        <v>473.7</v>
      </c>
      <c r="E46" s="20">
        <f t="shared" ref="E46:G46" si="33">E64+E80+E95</f>
        <v>428.5</v>
      </c>
      <c r="F46" s="20">
        <f t="shared" si="33"/>
        <v>8942</v>
      </c>
      <c r="G46" s="20">
        <f t="shared" si="33"/>
        <v>7963.7999999999993</v>
      </c>
      <c r="H46" s="20">
        <f t="shared" si="23"/>
        <v>9415.7000000000007</v>
      </c>
      <c r="I46" s="30">
        <f t="shared" si="23"/>
        <v>8392.2999999999993</v>
      </c>
    </row>
    <row r="47" spans="1:9" s="1" customFormat="1" ht="15.75" customHeight="1">
      <c r="A47" s="44"/>
      <c r="B47" s="45"/>
      <c r="C47" s="17">
        <v>3110</v>
      </c>
      <c r="D47" s="20">
        <f>D65+D81+D96+D108</f>
        <v>838</v>
      </c>
      <c r="E47" s="20">
        <f t="shared" ref="E47:G47" si="34">E65+E81+E96+E108</f>
        <v>757</v>
      </c>
      <c r="F47" s="20">
        <f t="shared" si="34"/>
        <v>14835.5</v>
      </c>
      <c r="G47" s="20">
        <f t="shared" si="34"/>
        <v>783.89999999999986</v>
      </c>
      <c r="H47" s="20">
        <f t="shared" si="23"/>
        <v>15673.5</v>
      </c>
      <c r="I47" s="30">
        <f t="shared" si="23"/>
        <v>1540.8999999999999</v>
      </c>
    </row>
    <row r="48" spans="1:9" s="1" customFormat="1" ht="15.75" customHeight="1">
      <c r="A48" s="44"/>
      <c r="B48" s="45"/>
      <c r="C48" s="17">
        <v>3120</v>
      </c>
      <c r="D48" s="20">
        <f>D97+D109</f>
        <v>165119.5</v>
      </c>
      <c r="E48" s="20">
        <f t="shared" ref="E48:G48" si="35">E97+E109</f>
        <v>124487.2</v>
      </c>
      <c r="F48" s="20">
        <f t="shared" si="35"/>
        <v>214640.8</v>
      </c>
      <c r="G48" s="20">
        <f t="shared" si="35"/>
        <v>4799.5999999999995</v>
      </c>
      <c r="H48" s="20">
        <f t="shared" si="23"/>
        <v>379760.3</v>
      </c>
      <c r="I48" s="30">
        <f t="shared" si="23"/>
        <v>129286.8</v>
      </c>
    </row>
    <row r="49" spans="1:12" s="1" customFormat="1" ht="15.75" customHeight="1">
      <c r="A49" s="44"/>
      <c r="B49" s="45"/>
      <c r="C49" s="17">
        <v>3130</v>
      </c>
      <c r="D49" s="20">
        <f>D98+D110</f>
        <v>15644.9</v>
      </c>
      <c r="E49" s="20">
        <f t="shared" ref="E49:G49" si="36">E98+E110</f>
        <v>3478.4</v>
      </c>
      <c r="F49" s="20">
        <f t="shared" si="36"/>
        <v>2625.4</v>
      </c>
      <c r="G49" s="20">
        <f t="shared" si="36"/>
        <v>104.9</v>
      </c>
      <c r="H49" s="20">
        <f t="shared" si="23"/>
        <v>18270.3</v>
      </c>
      <c r="I49" s="30">
        <f t="shared" si="23"/>
        <v>3583.3</v>
      </c>
    </row>
    <row r="50" spans="1:12" s="1" customFormat="1" ht="15.75" customHeight="1">
      <c r="A50" s="44"/>
      <c r="B50" s="45"/>
      <c r="C50" s="17">
        <v>3140</v>
      </c>
      <c r="D50" s="20">
        <f>D99+D111+D129</f>
        <v>25755.7</v>
      </c>
      <c r="E50" s="20">
        <f t="shared" ref="E50:G50" si="37">E99+E111+E129</f>
        <v>15969.5</v>
      </c>
      <c r="F50" s="20">
        <f t="shared" si="37"/>
        <v>655158.9</v>
      </c>
      <c r="G50" s="20">
        <f t="shared" si="37"/>
        <v>570918.6</v>
      </c>
      <c r="H50" s="20">
        <f t="shared" si="23"/>
        <v>680914.6</v>
      </c>
      <c r="I50" s="30">
        <f t="shared" si="23"/>
        <v>586888.1</v>
      </c>
    </row>
    <row r="51" spans="1:12" s="1" customFormat="1" ht="15.75" customHeight="1">
      <c r="A51" s="44"/>
      <c r="B51" s="45"/>
      <c r="C51" s="17">
        <v>3160</v>
      </c>
      <c r="D51" s="20">
        <f>D100</f>
        <v>1000</v>
      </c>
      <c r="E51" s="20">
        <f t="shared" ref="E51:G51" si="38">E100</f>
        <v>0</v>
      </c>
      <c r="F51" s="20">
        <f t="shared" si="38"/>
        <v>0</v>
      </c>
      <c r="G51" s="20">
        <f t="shared" si="38"/>
        <v>0</v>
      </c>
      <c r="H51" s="20">
        <f t="shared" ref="H51" si="39">D51+F51</f>
        <v>1000</v>
      </c>
      <c r="I51" s="30">
        <f t="shared" ref="I51" si="40">E51+G51</f>
        <v>0</v>
      </c>
    </row>
    <row r="52" spans="1:12" s="1" customFormat="1" ht="15.75" customHeight="1">
      <c r="A52" s="44"/>
      <c r="B52" s="45"/>
      <c r="C52" s="17">
        <v>3210</v>
      </c>
      <c r="D52" s="20">
        <f>D69+D101+D112+D130</f>
        <v>142597.79999999999</v>
      </c>
      <c r="E52" s="20">
        <f t="shared" ref="E52:G52" si="41">E69+E101+E112+E130</f>
        <v>103946.1</v>
      </c>
      <c r="F52" s="20">
        <f t="shared" si="41"/>
        <v>117017</v>
      </c>
      <c r="G52" s="20">
        <f t="shared" si="41"/>
        <v>94306.1</v>
      </c>
      <c r="H52" s="20">
        <f t="shared" si="23"/>
        <v>259614.8</v>
      </c>
      <c r="I52" s="30">
        <f t="shared" si="23"/>
        <v>198252.2</v>
      </c>
    </row>
    <row r="53" spans="1:12" s="1" customFormat="1" ht="18.75" customHeight="1">
      <c r="A53" s="46"/>
      <c r="B53" s="47"/>
      <c r="C53" s="19" t="s">
        <v>10</v>
      </c>
      <c r="D53" s="20">
        <f>SUM(D35:D52)</f>
        <v>559971.60000000009</v>
      </c>
      <c r="E53" s="20">
        <f t="shared" ref="E53:G53" si="42">SUM(E35:E52)</f>
        <v>433962.19999999995</v>
      </c>
      <c r="F53" s="20">
        <f t="shared" si="42"/>
        <v>1133440.3999999999</v>
      </c>
      <c r="G53" s="20">
        <f t="shared" si="42"/>
        <v>725771.7</v>
      </c>
      <c r="H53" s="20">
        <f>D53+F53</f>
        <v>1693412</v>
      </c>
      <c r="I53" s="30">
        <f>E53+G53</f>
        <v>1159733.8999999999</v>
      </c>
    </row>
    <row r="54" spans="1:12" s="1" customFormat="1">
      <c r="A54" s="32">
        <v>2401010</v>
      </c>
      <c r="B54" s="35" t="s">
        <v>12</v>
      </c>
      <c r="C54" s="48" t="s">
        <v>13</v>
      </c>
      <c r="D54" s="49"/>
      <c r="E54" s="49"/>
      <c r="F54" s="49"/>
      <c r="G54" s="49"/>
      <c r="H54" s="49"/>
      <c r="I54" s="50"/>
    </row>
    <row r="55" spans="1:12" s="1" customFormat="1">
      <c r="A55" s="33"/>
      <c r="B55" s="36"/>
      <c r="C55" s="17">
        <v>2110</v>
      </c>
      <c r="D55" s="18">
        <v>15367.4</v>
      </c>
      <c r="E55" s="18">
        <v>15367.4</v>
      </c>
      <c r="F55" s="18">
        <v>1800</v>
      </c>
      <c r="G55" s="18">
        <v>1797.9</v>
      </c>
      <c r="H55" s="20">
        <f t="shared" ref="H55:I66" si="43">D55+F55</f>
        <v>17167.400000000001</v>
      </c>
      <c r="I55" s="30">
        <f t="shared" si="43"/>
        <v>17165.3</v>
      </c>
      <c r="L55" s="23"/>
    </row>
    <row r="56" spans="1:12" s="1" customFormat="1">
      <c r="A56" s="33"/>
      <c r="B56" s="36"/>
      <c r="C56" s="17">
        <v>2120</v>
      </c>
      <c r="D56" s="18">
        <v>5670.6</v>
      </c>
      <c r="E56" s="18">
        <v>5635.7</v>
      </c>
      <c r="F56" s="18">
        <v>653.4</v>
      </c>
      <c r="G56" s="18">
        <v>541.9</v>
      </c>
      <c r="H56" s="20">
        <f t="shared" si="43"/>
        <v>6324</v>
      </c>
      <c r="I56" s="30">
        <f t="shared" si="43"/>
        <v>6177.5999999999995</v>
      </c>
    </row>
    <row r="57" spans="1:12" s="1" customFormat="1">
      <c r="A57" s="33"/>
      <c r="B57" s="36"/>
      <c r="C57" s="17">
        <v>2210</v>
      </c>
      <c r="D57" s="18"/>
      <c r="E57" s="18"/>
      <c r="F57" s="18">
        <v>346</v>
      </c>
      <c r="G57" s="18">
        <v>332.2</v>
      </c>
      <c r="H57" s="20">
        <f t="shared" si="43"/>
        <v>346</v>
      </c>
      <c r="I57" s="30">
        <f t="shared" si="43"/>
        <v>332.2</v>
      </c>
      <c r="L57" s="23"/>
    </row>
    <row r="58" spans="1:12" s="1" customFormat="1">
      <c r="A58" s="33"/>
      <c r="B58" s="36"/>
      <c r="C58" s="17">
        <v>2240</v>
      </c>
      <c r="D58" s="18">
        <v>285.3</v>
      </c>
      <c r="E58" s="18">
        <v>277</v>
      </c>
      <c r="F58" s="18">
        <v>7327.1</v>
      </c>
      <c r="G58" s="18">
        <f>6042.6+5.7</f>
        <v>6048.3</v>
      </c>
      <c r="H58" s="20">
        <f t="shared" si="43"/>
        <v>7612.4000000000005</v>
      </c>
      <c r="I58" s="30">
        <f t="shared" si="43"/>
        <v>6325.3</v>
      </c>
    </row>
    <row r="59" spans="1:12" s="1" customFormat="1">
      <c r="A59" s="33"/>
      <c r="B59" s="36"/>
      <c r="C59" s="17">
        <v>2250</v>
      </c>
      <c r="D59" s="18"/>
      <c r="E59" s="18"/>
      <c r="F59" s="18">
        <v>308</v>
      </c>
      <c r="G59" s="18">
        <v>92</v>
      </c>
      <c r="H59" s="20">
        <f t="shared" si="43"/>
        <v>308</v>
      </c>
      <c r="I59" s="30">
        <f t="shared" si="43"/>
        <v>92</v>
      </c>
    </row>
    <row r="60" spans="1:12" s="1" customFormat="1">
      <c r="A60" s="33"/>
      <c r="B60" s="36"/>
      <c r="C60" s="17">
        <v>2270</v>
      </c>
      <c r="D60" s="18">
        <v>331.7</v>
      </c>
      <c r="E60" s="18">
        <v>330</v>
      </c>
      <c r="F60" s="18">
        <v>2254.9</v>
      </c>
      <c r="G60" s="18">
        <v>1715.9</v>
      </c>
      <c r="H60" s="20">
        <f t="shared" si="43"/>
        <v>2586.6</v>
      </c>
      <c r="I60" s="30">
        <f t="shared" si="43"/>
        <v>2045.9</v>
      </c>
    </row>
    <row r="61" spans="1:12" s="1" customFormat="1">
      <c r="A61" s="33"/>
      <c r="B61" s="36"/>
      <c r="C61" s="17">
        <v>2281</v>
      </c>
      <c r="D61" s="18"/>
      <c r="E61" s="18"/>
      <c r="F61" s="18"/>
      <c r="G61" s="18"/>
      <c r="H61" s="20">
        <f t="shared" si="43"/>
        <v>0</v>
      </c>
      <c r="I61" s="30">
        <f t="shared" si="43"/>
        <v>0</v>
      </c>
    </row>
    <row r="62" spans="1:12" s="1" customFormat="1">
      <c r="A62" s="33"/>
      <c r="B62" s="36"/>
      <c r="C62" s="17">
        <v>2282</v>
      </c>
      <c r="D62" s="18"/>
      <c r="E62" s="18"/>
      <c r="F62" s="18">
        <v>14</v>
      </c>
      <c r="G62" s="18">
        <v>6.4</v>
      </c>
      <c r="H62" s="20">
        <f t="shared" ref="H62" si="44">D62+F62</f>
        <v>14</v>
      </c>
      <c r="I62" s="30">
        <f t="shared" ref="I62" si="45">E62+G62</f>
        <v>6.4</v>
      </c>
    </row>
    <row r="63" spans="1:12" s="1" customFormat="1">
      <c r="A63" s="33"/>
      <c r="B63" s="36"/>
      <c r="C63" s="17">
        <v>2700</v>
      </c>
      <c r="D63" s="18"/>
      <c r="E63" s="18"/>
      <c r="F63" s="18">
        <v>15</v>
      </c>
      <c r="G63" s="18">
        <v>15.7</v>
      </c>
      <c r="H63" s="20">
        <f t="shared" si="43"/>
        <v>15</v>
      </c>
      <c r="I63" s="30">
        <f t="shared" si="43"/>
        <v>15.7</v>
      </c>
    </row>
    <row r="64" spans="1:12" s="1" customFormat="1">
      <c r="A64" s="33"/>
      <c r="B64" s="36"/>
      <c r="C64" s="17">
        <v>2800</v>
      </c>
      <c r="D64" s="18"/>
      <c r="E64" s="18"/>
      <c r="F64" s="18">
        <v>3400</v>
      </c>
      <c r="G64" s="18">
        <v>2610.1999999999998</v>
      </c>
      <c r="H64" s="20">
        <f t="shared" si="43"/>
        <v>3400</v>
      </c>
      <c r="I64" s="30">
        <f t="shared" si="43"/>
        <v>2610.1999999999998</v>
      </c>
    </row>
    <row r="65" spans="1:9" s="1" customFormat="1">
      <c r="A65" s="33"/>
      <c r="B65" s="36"/>
      <c r="C65" s="17">
        <v>3110</v>
      </c>
      <c r="D65" s="18"/>
      <c r="E65" s="18"/>
      <c r="F65" s="18">
        <v>660</v>
      </c>
      <c r="G65" s="18">
        <v>40.799999999999997</v>
      </c>
      <c r="H65" s="20">
        <f t="shared" si="43"/>
        <v>660</v>
      </c>
      <c r="I65" s="30">
        <f t="shared" si="43"/>
        <v>40.799999999999997</v>
      </c>
    </row>
    <row r="66" spans="1:9" s="1" customFormat="1">
      <c r="A66" s="34"/>
      <c r="B66" s="37"/>
      <c r="C66" s="19" t="s">
        <v>10</v>
      </c>
      <c r="D66" s="20">
        <f>SUM(D55:D65)</f>
        <v>21655</v>
      </c>
      <c r="E66" s="20">
        <f t="shared" ref="E66:G66" si="46">SUM(E55:E65)</f>
        <v>21610.1</v>
      </c>
      <c r="F66" s="20">
        <f t="shared" si="46"/>
        <v>16778.400000000001</v>
      </c>
      <c r="G66" s="20">
        <f t="shared" si="46"/>
        <v>13201.3</v>
      </c>
      <c r="H66" s="20">
        <f t="shared" si="43"/>
        <v>38433.4</v>
      </c>
      <c r="I66" s="30">
        <f>E66+G66</f>
        <v>34811.399999999994</v>
      </c>
    </row>
    <row r="67" spans="1:9" s="1" customFormat="1" ht="44.25" customHeight="1">
      <c r="A67" s="32">
        <v>2401040</v>
      </c>
      <c r="B67" s="35" t="s">
        <v>14</v>
      </c>
      <c r="C67" s="48" t="s">
        <v>15</v>
      </c>
      <c r="D67" s="49"/>
      <c r="E67" s="49"/>
      <c r="F67" s="49"/>
      <c r="G67" s="49"/>
      <c r="H67" s="49"/>
      <c r="I67" s="50"/>
    </row>
    <row r="68" spans="1:9" s="1" customFormat="1">
      <c r="A68" s="33"/>
      <c r="B68" s="36"/>
      <c r="C68" s="17">
        <v>2281</v>
      </c>
      <c r="D68" s="18">
        <v>12732.1</v>
      </c>
      <c r="E68" s="18">
        <v>12718.6</v>
      </c>
      <c r="F68" s="18">
        <f>8407.7+3325.6</f>
        <v>11733.300000000001</v>
      </c>
      <c r="G68" s="18">
        <f>3620.9+3299.8</f>
        <v>6920.7000000000007</v>
      </c>
      <c r="H68" s="20">
        <f>D68+F68</f>
        <v>24465.4</v>
      </c>
      <c r="I68" s="30">
        <f>E68+G68</f>
        <v>19639.300000000003</v>
      </c>
    </row>
    <row r="69" spans="1:9" s="1" customFormat="1">
      <c r="A69" s="33"/>
      <c r="B69" s="36"/>
      <c r="C69" s="17">
        <v>3210</v>
      </c>
      <c r="D69" s="18"/>
      <c r="E69" s="18"/>
      <c r="F69" s="18">
        <f>1299+2734.8</f>
        <v>4033.8</v>
      </c>
      <c r="G69" s="18">
        <f>2734.8</f>
        <v>2734.8</v>
      </c>
      <c r="H69" s="20">
        <f t="shared" ref="H69:H70" si="47">D69+F69</f>
        <v>4033.8</v>
      </c>
      <c r="I69" s="30">
        <f t="shared" ref="I69:I70" si="48">E69+G69</f>
        <v>2734.8</v>
      </c>
    </row>
    <row r="70" spans="1:9" s="1" customFormat="1">
      <c r="A70" s="34"/>
      <c r="B70" s="37"/>
      <c r="C70" s="19" t="s">
        <v>10</v>
      </c>
      <c r="D70" s="20">
        <f>SUM(D68:D69)</f>
        <v>12732.1</v>
      </c>
      <c r="E70" s="20">
        <f t="shared" ref="E70:F70" si="49">SUM(E68:E69)</f>
        <v>12718.6</v>
      </c>
      <c r="F70" s="20">
        <f t="shared" si="49"/>
        <v>15767.100000000002</v>
      </c>
      <c r="G70" s="20">
        <f>SUM(G68:G69)</f>
        <v>9655.5</v>
      </c>
      <c r="H70" s="20">
        <f t="shared" si="47"/>
        <v>28499.200000000004</v>
      </c>
      <c r="I70" s="30">
        <f t="shared" si="48"/>
        <v>22374.1</v>
      </c>
    </row>
    <row r="71" spans="1:9" s="1" customFormat="1" ht="30.75" customHeight="1">
      <c r="A71" s="38">
        <v>2401090</v>
      </c>
      <c r="B71" s="39" t="s">
        <v>16</v>
      </c>
      <c r="C71" s="48" t="s">
        <v>17</v>
      </c>
      <c r="D71" s="49"/>
      <c r="E71" s="49"/>
      <c r="F71" s="49"/>
      <c r="G71" s="49"/>
      <c r="H71" s="49"/>
      <c r="I71" s="50"/>
    </row>
    <row r="72" spans="1:9" s="1" customFormat="1">
      <c r="A72" s="38"/>
      <c r="B72" s="39"/>
      <c r="C72" s="17">
        <v>2110</v>
      </c>
      <c r="D72" s="18">
        <v>6430.1</v>
      </c>
      <c r="E72" s="18">
        <v>6409.2</v>
      </c>
      <c r="F72" s="18">
        <f>592.4+18.7</f>
        <v>611.1</v>
      </c>
      <c r="G72" s="18">
        <f>592.4+18.7</f>
        <v>611.1</v>
      </c>
      <c r="H72" s="20">
        <f t="shared" ref="H72:I82" si="50">D72+F72</f>
        <v>7041.2000000000007</v>
      </c>
      <c r="I72" s="30">
        <f t="shared" si="50"/>
        <v>7020.3</v>
      </c>
    </row>
    <row r="73" spans="1:9" s="1" customFormat="1">
      <c r="A73" s="38"/>
      <c r="B73" s="39"/>
      <c r="C73" s="17">
        <v>2120</v>
      </c>
      <c r="D73" s="18">
        <v>2334.4</v>
      </c>
      <c r="E73" s="18">
        <v>2334.4</v>
      </c>
      <c r="F73" s="18">
        <f>136.6+6.5</f>
        <v>143.1</v>
      </c>
      <c r="G73" s="18">
        <f>136.5+6.5</f>
        <v>143</v>
      </c>
      <c r="H73" s="20">
        <f t="shared" si="50"/>
        <v>2477.5</v>
      </c>
      <c r="I73" s="30">
        <f t="shared" si="50"/>
        <v>2477.4</v>
      </c>
    </row>
    <row r="74" spans="1:9" s="1" customFormat="1">
      <c r="A74" s="38"/>
      <c r="B74" s="39"/>
      <c r="C74" s="17">
        <v>2210</v>
      </c>
      <c r="D74" s="18"/>
      <c r="E74" s="18"/>
      <c r="F74" s="18">
        <f>172.8+5</f>
        <v>177.8</v>
      </c>
      <c r="G74" s="18">
        <f>172.8+5</f>
        <v>177.8</v>
      </c>
      <c r="H74" s="20">
        <f t="shared" si="50"/>
        <v>177.8</v>
      </c>
      <c r="I74" s="30">
        <f t="shared" si="50"/>
        <v>177.8</v>
      </c>
    </row>
    <row r="75" spans="1:9" s="1" customFormat="1">
      <c r="A75" s="38"/>
      <c r="B75" s="39"/>
      <c r="C75" s="17">
        <v>2240</v>
      </c>
      <c r="D75" s="18"/>
      <c r="E75" s="18"/>
      <c r="F75" s="18">
        <f>313.9+788.8</f>
        <v>1102.6999999999998</v>
      </c>
      <c r="G75" s="18">
        <f>313.9+788.8</f>
        <v>1102.6999999999998</v>
      </c>
      <c r="H75" s="20">
        <f t="shared" si="50"/>
        <v>1102.6999999999998</v>
      </c>
      <c r="I75" s="30">
        <f t="shared" si="50"/>
        <v>1102.6999999999998</v>
      </c>
    </row>
    <row r="76" spans="1:9" s="1" customFormat="1">
      <c r="A76" s="38"/>
      <c r="B76" s="39"/>
      <c r="C76" s="17">
        <v>2250</v>
      </c>
      <c r="D76" s="18"/>
      <c r="E76" s="18"/>
      <c r="F76" s="18">
        <f>36.8</f>
        <v>36.799999999999997</v>
      </c>
      <c r="G76" s="18">
        <f>36.8</f>
        <v>36.799999999999997</v>
      </c>
      <c r="H76" s="20">
        <f t="shared" si="50"/>
        <v>36.799999999999997</v>
      </c>
      <c r="I76" s="30">
        <f t="shared" si="50"/>
        <v>36.799999999999997</v>
      </c>
    </row>
    <row r="77" spans="1:9" s="1" customFormat="1">
      <c r="A77" s="38"/>
      <c r="B77" s="39"/>
      <c r="C77" s="17">
        <v>2270</v>
      </c>
      <c r="D77" s="18">
        <v>516.9</v>
      </c>
      <c r="E77" s="18">
        <v>487.5</v>
      </c>
      <c r="F77" s="18">
        <v>27.5</v>
      </c>
      <c r="G77" s="18">
        <v>27</v>
      </c>
      <c r="H77" s="20">
        <f t="shared" si="50"/>
        <v>544.4</v>
      </c>
      <c r="I77" s="30">
        <f t="shared" si="50"/>
        <v>514.5</v>
      </c>
    </row>
    <row r="78" spans="1:9" s="1" customFormat="1">
      <c r="A78" s="38"/>
      <c r="B78" s="39"/>
      <c r="C78" s="17">
        <v>2281</v>
      </c>
      <c r="D78" s="18"/>
      <c r="E78" s="18"/>
      <c r="F78" s="18">
        <v>105</v>
      </c>
      <c r="G78" s="18">
        <v>105</v>
      </c>
      <c r="H78" s="20">
        <f t="shared" si="50"/>
        <v>105</v>
      </c>
      <c r="I78" s="30">
        <f t="shared" si="50"/>
        <v>105</v>
      </c>
    </row>
    <row r="79" spans="1:9" s="1" customFormat="1">
      <c r="A79" s="38"/>
      <c r="B79" s="39"/>
      <c r="C79" s="17">
        <v>2700</v>
      </c>
      <c r="D79" s="18">
        <v>127.3</v>
      </c>
      <c r="E79" s="18">
        <v>127.3</v>
      </c>
      <c r="F79" s="18"/>
      <c r="G79" s="18"/>
      <c r="H79" s="20">
        <f t="shared" si="50"/>
        <v>127.3</v>
      </c>
      <c r="I79" s="30">
        <f t="shared" si="50"/>
        <v>127.3</v>
      </c>
    </row>
    <row r="80" spans="1:9" s="1" customFormat="1">
      <c r="A80" s="38"/>
      <c r="B80" s="39"/>
      <c r="C80" s="17">
        <v>2800</v>
      </c>
      <c r="D80" s="18"/>
      <c r="E80" s="18"/>
      <c r="F80" s="18">
        <v>31.6</v>
      </c>
      <c r="G80" s="18">
        <v>31.6</v>
      </c>
      <c r="H80" s="20">
        <f t="shared" si="50"/>
        <v>31.6</v>
      </c>
      <c r="I80" s="30">
        <f t="shared" si="50"/>
        <v>31.6</v>
      </c>
    </row>
    <row r="81" spans="1:9" s="1" customFormat="1">
      <c r="A81" s="38"/>
      <c r="B81" s="39"/>
      <c r="C81" s="17">
        <v>3110</v>
      </c>
      <c r="D81" s="18"/>
      <c r="E81" s="18"/>
      <c r="F81" s="18">
        <v>9.5</v>
      </c>
      <c r="G81" s="18">
        <v>9.5</v>
      </c>
      <c r="H81" s="20">
        <f t="shared" si="50"/>
        <v>9.5</v>
      </c>
      <c r="I81" s="30">
        <f t="shared" si="50"/>
        <v>9.5</v>
      </c>
    </row>
    <row r="82" spans="1:9" s="1" customFormat="1">
      <c r="A82" s="38"/>
      <c r="B82" s="39"/>
      <c r="C82" s="19" t="s">
        <v>10</v>
      </c>
      <c r="D82" s="20">
        <f>SUM(D72:D81)</f>
        <v>9408.6999999999989</v>
      </c>
      <c r="E82" s="20">
        <f t="shared" ref="E82:G82" si="51">SUM(E72:E81)</f>
        <v>9358.4</v>
      </c>
      <c r="F82" s="20">
        <f t="shared" si="51"/>
        <v>2245.1</v>
      </c>
      <c r="G82" s="20">
        <f t="shared" si="51"/>
        <v>2244.5</v>
      </c>
      <c r="H82" s="20">
        <f t="shared" si="50"/>
        <v>11653.8</v>
      </c>
      <c r="I82" s="30">
        <f t="shared" si="50"/>
        <v>11602.9</v>
      </c>
    </row>
    <row r="83" spans="1:9" s="1" customFormat="1" ht="18" customHeight="1">
      <c r="A83" s="38">
        <v>2401270</v>
      </c>
      <c r="B83" s="39" t="s">
        <v>12</v>
      </c>
      <c r="C83" s="48" t="s">
        <v>18</v>
      </c>
      <c r="D83" s="49"/>
      <c r="E83" s="49"/>
      <c r="F83" s="49"/>
      <c r="G83" s="49"/>
      <c r="H83" s="49"/>
      <c r="I83" s="50"/>
    </row>
    <row r="84" spans="1:9" s="1" customFormat="1">
      <c r="A84" s="38"/>
      <c r="B84" s="39"/>
      <c r="C84" s="17">
        <v>2110</v>
      </c>
      <c r="D84" s="18">
        <v>85128.5</v>
      </c>
      <c r="E84" s="18">
        <v>85007.8</v>
      </c>
      <c r="F84" s="18">
        <f>5732.7</f>
        <v>5732.7</v>
      </c>
      <c r="G84" s="18">
        <f>5660.6</f>
        <v>5660.6</v>
      </c>
      <c r="H84" s="20">
        <f t="shared" ref="H84:I87" si="52">D84+F84</f>
        <v>90861.2</v>
      </c>
      <c r="I84" s="30">
        <f t="shared" si="52"/>
        <v>90668.400000000009</v>
      </c>
    </row>
    <row r="85" spans="1:9" s="1" customFormat="1">
      <c r="A85" s="38"/>
      <c r="B85" s="39"/>
      <c r="C85" s="17">
        <v>2120</v>
      </c>
      <c r="D85" s="18">
        <v>30656.7</v>
      </c>
      <c r="E85" s="18">
        <v>30082.9</v>
      </c>
      <c r="F85" s="18">
        <f>2056.9</f>
        <v>2056.9</v>
      </c>
      <c r="G85" s="18">
        <f>2007.2</f>
        <v>2007.2</v>
      </c>
      <c r="H85" s="20">
        <f t="shared" si="52"/>
        <v>32713.600000000002</v>
      </c>
      <c r="I85" s="30">
        <f t="shared" si="52"/>
        <v>32090.100000000002</v>
      </c>
    </row>
    <row r="86" spans="1:9" s="1" customFormat="1">
      <c r="A86" s="38"/>
      <c r="B86" s="39"/>
      <c r="C86" s="17">
        <v>2210</v>
      </c>
      <c r="D86" s="18">
        <v>4269.3999999999996</v>
      </c>
      <c r="E86" s="18">
        <v>4182.6000000000004</v>
      </c>
      <c r="F86" s="18">
        <f>6598+172+10</f>
        <v>6780</v>
      </c>
      <c r="G86" s="18">
        <f>6247.2+169+10</f>
        <v>6426.2</v>
      </c>
      <c r="H86" s="20">
        <f t="shared" si="52"/>
        <v>11049.4</v>
      </c>
      <c r="I86" s="30">
        <f t="shared" si="52"/>
        <v>10608.8</v>
      </c>
    </row>
    <row r="87" spans="1:9" s="1" customFormat="1">
      <c r="A87" s="38"/>
      <c r="B87" s="39"/>
      <c r="C87" s="17">
        <v>2220</v>
      </c>
      <c r="D87" s="18"/>
      <c r="E87" s="18"/>
      <c r="F87" s="18">
        <f>11.3+0.1</f>
        <v>11.4</v>
      </c>
      <c r="G87" s="18">
        <f>10.5+0.1</f>
        <v>10.6</v>
      </c>
      <c r="H87" s="20">
        <f t="shared" si="52"/>
        <v>11.4</v>
      </c>
      <c r="I87" s="30">
        <f t="shared" si="52"/>
        <v>10.6</v>
      </c>
    </row>
    <row r="88" spans="1:9" s="1" customFormat="1">
      <c r="A88" s="38"/>
      <c r="B88" s="39"/>
      <c r="C88" s="17">
        <v>2240</v>
      </c>
      <c r="D88" s="18">
        <v>2051.9</v>
      </c>
      <c r="E88" s="18">
        <v>1700.3</v>
      </c>
      <c r="F88" s="18">
        <f>1729.3+13.9+39.1</f>
        <v>1782.3</v>
      </c>
      <c r="G88" s="18">
        <f>1293.1+13.9+22.5</f>
        <v>1329.5</v>
      </c>
      <c r="H88" s="20">
        <f t="shared" ref="H88:I101" si="53">D88+F88</f>
        <v>3834.2</v>
      </c>
      <c r="I88" s="30">
        <f t="shared" si="53"/>
        <v>3029.8</v>
      </c>
    </row>
    <row r="89" spans="1:9" s="1" customFormat="1">
      <c r="A89" s="38"/>
      <c r="B89" s="39"/>
      <c r="C89" s="17">
        <v>2250</v>
      </c>
      <c r="D89" s="18">
        <v>939.9</v>
      </c>
      <c r="E89" s="18">
        <v>591.9</v>
      </c>
      <c r="F89" s="18">
        <f>208.3+66.5</f>
        <v>274.8</v>
      </c>
      <c r="G89" s="18">
        <f>105.7+66.5</f>
        <v>172.2</v>
      </c>
      <c r="H89" s="20">
        <f t="shared" si="53"/>
        <v>1214.7</v>
      </c>
      <c r="I89" s="30">
        <f t="shared" si="53"/>
        <v>764.09999999999991</v>
      </c>
    </row>
    <row r="90" spans="1:9" s="1" customFormat="1">
      <c r="A90" s="38"/>
      <c r="B90" s="39"/>
      <c r="C90" s="17">
        <v>2270</v>
      </c>
      <c r="D90" s="18">
        <v>2874.2</v>
      </c>
      <c r="E90" s="18">
        <v>2251.1</v>
      </c>
      <c r="F90" s="18">
        <f>494</f>
        <v>494</v>
      </c>
      <c r="G90" s="18">
        <f>255.1</f>
        <v>255.1</v>
      </c>
      <c r="H90" s="20">
        <f t="shared" si="53"/>
        <v>3368.2</v>
      </c>
      <c r="I90" s="30">
        <f t="shared" si="53"/>
        <v>2506.1999999999998</v>
      </c>
    </row>
    <row r="91" spans="1:9" s="1" customFormat="1">
      <c r="A91" s="38"/>
      <c r="B91" s="39"/>
      <c r="C91" s="17">
        <v>2281</v>
      </c>
      <c r="D91" s="18">
        <v>27240</v>
      </c>
      <c r="E91" s="18">
        <v>9327.7000000000007</v>
      </c>
      <c r="F91" s="18">
        <f>249.5+582.9+98.2</f>
        <v>930.6</v>
      </c>
      <c r="G91" s="18">
        <f>249.5+582.9+66.9</f>
        <v>899.3</v>
      </c>
      <c r="H91" s="20">
        <f t="shared" si="53"/>
        <v>28170.6</v>
      </c>
      <c r="I91" s="30">
        <f t="shared" si="53"/>
        <v>10227</v>
      </c>
    </row>
    <row r="92" spans="1:9" s="1" customFormat="1">
      <c r="A92" s="38"/>
      <c r="B92" s="39"/>
      <c r="C92" s="17">
        <v>2282</v>
      </c>
      <c r="D92" s="18">
        <v>185.6</v>
      </c>
      <c r="E92" s="18">
        <v>144.6</v>
      </c>
      <c r="F92" s="18">
        <f>36.6+98</f>
        <v>134.6</v>
      </c>
      <c r="G92" s="18">
        <f>15.5+98</f>
        <v>113.5</v>
      </c>
      <c r="H92" s="20">
        <f t="shared" si="53"/>
        <v>320.2</v>
      </c>
      <c r="I92" s="30">
        <f t="shared" si="53"/>
        <v>258.10000000000002</v>
      </c>
    </row>
    <row r="93" spans="1:9" s="1" customFormat="1">
      <c r="A93" s="38"/>
      <c r="B93" s="39"/>
      <c r="C93" s="17">
        <v>2600</v>
      </c>
      <c r="D93" s="18">
        <v>9896.6</v>
      </c>
      <c r="E93" s="18">
        <v>6494.3</v>
      </c>
      <c r="F93" s="18">
        <f>2757.6</f>
        <v>2757.6</v>
      </c>
      <c r="G93" s="18">
        <f>2230.8</f>
        <v>2230.8000000000002</v>
      </c>
      <c r="H93" s="20">
        <f t="shared" si="53"/>
        <v>12654.2</v>
      </c>
      <c r="I93" s="30">
        <f t="shared" si="53"/>
        <v>8725.1</v>
      </c>
    </row>
    <row r="94" spans="1:9" s="1" customFormat="1">
      <c r="A94" s="38"/>
      <c r="B94" s="39"/>
      <c r="C94" s="17">
        <v>2700</v>
      </c>
      <c r="D94" s="18"/>
      <c r="E94" s="18"/>
      <c r="F94" s="18">
        <f>15</f>
        <v>15</v>
      </c>
      <c r="G94" s="18">
        <f>15</f>
        <v>15</v>
      </c>
      <c r="H94" s="20">
        <f t="shared" si="53"/>
        <v>15</v>
      </c>
      <c r="I94" s="30">
        <f t="shared" si="53"/>
        <v>15</v>
      </c>
    </row>
    <row r="95" spans="1:9" s="1" customFormat="1">
      <c r="A95" s="38"/>
      <c r="B95" s="39"/>
      <c r="C95" s="17">
        <v>2800</v>
      </c>
      <c r="D95" s="18">
        <v>473.7</v>
      </c>
      <c r="E95" s="18">
        <v>428.5</v>
      </c>
      <c r="F95" s="18">
        <f>5510.4</f>
        <v>5510.4</v>
      </c>
      <c r="G95" s="18">
        <f>5322</f>
        <v>5322</v>
      </c>
      <c r="H95" s="20">
        <f t="shared" si="53"/>
        <v>5984.0999999999995</v>
      </c>
      <c r="I95" s="30">
        <f t="shared" si="53"/>
        <v>5750.5</v>
      </c>
    </row>
    <row r="96" spans="1:9" s="1" customFormat="1">
      <c r="A96" s="38"/>
      <c r="B96" s="39"/>
      <c r="C96" s="17">
        <v>3110</v>
      </c>
      <c r="D96" s="18">
        <v>838</v>
      </c>
      <c r="E96" s="18">
        <v>757</v>
      </c>
      <c r="F96" s="18">
        <f>600.6+144.9+201.1</f>
        <v>946.6</v>
      </c>
      <c r="G96" s="18">
        <f>543.4+144.9+45.3</f>
        <v>733.59999999999991</v>
      </c>
      <c r="H96" s="20">
        <f t="shared" si="53"/>
        <v>1784.6</v>
      </c>
      <c r="I96" s="30">
        <f t="shared" si="53"/>
        <v>1490.6</v>
      </c>
    </row>
    <row r="97" spans="1:9" s="1" customFormat="1">
      <c r="A97" s="38"/>
      <c r="B97" s="39"/>
      <c r="C97" s="17">
        <v>3120</v>
      </c>
      <c r="D97" s="18">
        <v>165119.5</v>
      </c>
      <c r="E97" s="18">
        <v>124487.2</v>
      </c>
      <c r="F97" s="18">
        <f>326.6+4169.2+330</f>
        <v>4825.8</v>
      </c>
      <c r="G97" s="18">
        <f>300.9+4168.9+329.8</f>
        <v>4799.5999999999995</v>
      </c>
      <c r="H97" s="20">
        <f t="shared" si="53"/>
        <v>169945.3</v>
      </c>
      <c r="I97" s="30">
        <f t="shared" si="53"/>
        <v>129286.8</v>
      </c>
    </row>
    <row r="98" spans="1:9" s="1" customFormat="1">
      <c r="A98" s="38"/>
      <c r="B98" s="39"/>
      <c r="C98" s="17">
        <v>3130</v>
      </c>
      <c r="D98" s="18">
        <v>15644.9</v>
      </c>
      <c r="E98" s="18">
        <v>3478.4</v>
      </c>
      <c r="F98" s="18">
        <f>162</f>
        <v>162</v>
      </c>
      <c r="G98" s="18">
        <f>104.9</f>
        <v>104.9</v>
      </c>
      <c r="H98" s="20">
        <f t="shared" si="53"/>
        <v>15806.9</v>
      </c>
      <c r="I98" s="30">
        <f t="shared" si="53"/>
        <v>3583.3</v>
      </c>
    </row>
    <row r="99" spans="1:9" s="1" customFormat="1">
      <c r="A99" s="38"/>
      <c r="B99" s="39"/>
      <c r="C99" s="17">
        <v>3140</v>
      </c>
      <c r="D99" s="18">
        <v>25755.7</v>
      </c>
      <c r="E99" s="18">
        <v>15969.5</v>
      </c>
      <c r="F99" s="18">
        <f>130+1990.4</f>
        <v>2120.4</v>
      </c>
      <c r="G99" s="18">
        <f>73.8+1988.8</f>
        <v>2062.6</v>
      </c>
      <c r="H99" s="20">
        <f t="shared" si="53"/>
        <v>27876.100000000002</v>
      </c>
      <c r="I99" s="30">
        <f t="shared" si="53"/>
        <v>18032.099999999999</v>
      </c>
    </row>
    <row r="100" spans="1:9" s="1" customFormat="1">
      <c r="A100" s="38"/>
      <c r="B100" s="39"/>
      <c r="C100" s="17">
        <v>3160</v>
      </c>
      <c r="D100" s="18">
        <v>1000</v>
      </c>
      <c r="E100" s="18"/>
      <c r="F100" s="18"/>
      <c r="G100" s="18"/>
      <c r="H100" s="20">
        <f t="shared" ref="H100" si="54">D100+F100</f>
        <v>1000</v>
      </c>
      <c r="I100" s="30">
        <f t="shared" ref="I100" si="55">E100+G100</f>
        <v>0</v>
      </c>
    </row>
    <row r="101" spans="1:9" s="1" customFormat="1">
      <c r="A101" s="38"/>
      <c r="B101" s="39"/>
      <c r="C101" s="17">
        <v>3210</v>
      </c>
      <c r="D101" s="18">
        <v>142597.79999999999</v>
      </c>
      <c r="E101" s="18">
        <v>103946.1</v>
      </c>
      <c r="F101" s="18"/>
      <c r="G101" s="18"/>
      <c r="H101" s="20">
        <f t="shared" si="53"/>
        <v>142597.79999999999</v>
      </c>
      <c r="I101" s="30">
        <f t="shared" si="53"/>
        <v>103946.1</v>
      </c>
    </row>
    <row r="102" spans="1:9" s="1" customFormat="1">
      <c r="A102" s="38"/>
      <c r="B102" s="39"/>
      <c r="C102" s="19" t="s">
        <v>10</v>
      </c>
      <c r="D102" s="20">
        <f>SUM(D84:D101)</f>
        <v>514672.4</v>
      </c>
      <c r="E102" s="20">
        <f>SUM(E84:E101)</f>
        <v>388849.9</v>
      </c>
      <c r="F102" s="20">
        <f t="shared" ref="F102:G102" si="56">SUM(F84:F101)</f>
        <v>34535.099999999991</v>
      </c>
      <c r="G102" s="20">
        <f t="shared" si="56"/>
        <v>32142.699999999997</v>
      </c>
      <c r="H102" s="20">
        <f>D102+F102</f>
        <v>549207.5</v>
      </c>
      <c r="I102" s="30">
        <f>E102+G102</f>
        <v>420992.60000000003</v>
      </c>
    </row>
    <row r="103" spans="1:9" s="1" customFormat="1" ht="29.25" customHeight="1">
      <c r="A103" s="32">
        <v>2401500</v>
      </c>
      <c r="B103" s="35" t="s">
        <v>12</v>
      </c>
      <c r="C103" s="48" t="s">
        <v>51</v>
      </c>
      <c r="D103" s="49"/>
      <c r="E103" s="49"/>
      <c r="F103" s="49"/>
      <c r="G103" s="49"/>
      <c r="H103" s="49"/>
      <c r="I103" s="50"/>
    </row>
    <row r="104" spans="1:9" s="1" customFormat="1">
      <c r="A104" s="33"/>
      <c r="B104" s="36"/>
      <c r="C104" s="17">
        <v>2210</v>
      </c>
      <c r="D104" s="18"/>
      <c r="E104" s="18"/>
      <c r="F104" s="18">
        <f>5525.4</f>
        <v>5525.4</v>
      </c>
      <c r="G104" s="18"/>
      <c r="H104" s="20">
        <f t="shared" ref="H104:H113" si="57">D104+F104</f>
        <v>5525.4</v>
      </c>
      <c r="I104" s="30">
        <f t="shared" ref="I104:I113" si="58">E104+G104</f>
        <v>0</v>
      </c>
    </row>
    <row r="105" spans="1:9" s="1" customFormat="1">
      <c r="A105" s="33"/>
      <c r="B105" s="36"/>
      <c r="C105" s="17">
        <v>2240</v>
      </c>
      <c r="D105" s="18"/>
      <c r="E105" s="18"/>
      <c r="F105" s="18">
        <f>12220.2</f>
        <v>12220.2</v>
      </c>
      <c r="G105" s="18"/>
      <c r="H105" s="20">
        <f t="shared" si="57"/>
        <v>12220.2</v>
      </c>
      <c r="I105" s="30">
        <f t="shared" si="58"/>
        <v>0</v>
      </c>
    </row>
    <row r="106" spans="1:9" s="1" customFormat="1">
      <c r="A106" s="33"/>
      <c r="B106" s="36"/>
      <c r="C106" s="17">
        <v>2281</v>
      </c>
      <c r="D106" s="18"/>
      <c r="E106" s="18"/>
      <c r="F106" s="18">
        <f>29153.8</f>
        <v>29153.8</v>
      </c>
      <c r="G106" s="18"/>
      <c r="H106" s="20">
        <f t="shared" si="57"/>
        <v>29153.8</v>
      </c>
      <c r="I106" s="30">
        <f t="shared" si="58"/>
        <v>0</v>
      </c>
    </row>
    <row r="107" spans="1:9" s="1" customFormat="1">
      <c r="A107" s="33"/>
      <c r="B107" s="36"/>
      <c r="C107" s="17">
        <v>2282</v>
      </c>
      <c r="D107" s="18"/>
      <c r="E107" s="18"/>
      <c r="F107" s="18">
        <f>1053</f>
        <v>1053</v>
      </c>
      <c r="G107" s="18"/>
      <c r="H107" s="20">
        <f t="shared" si="57"/>
        <v>1053</v>
      </c>
      <c r="I107" s="30">
        <f t="shared" si="58"/>
        <v>0</v>
      </c>
    </row>
    <row r="108" spans="1:9" s="1" customFormat="1">
      <c r="A108" s="33"/>
      <c r="B108" s="36"/>
      <c r="C108" s="17">
        <v>3110</v>
      </c>
      <c r="D108" s="18"/>
      <c r="E108" s="18"/>
      <c r="F108" s="18">
        <f>13219.4</f>
        <v>13219.4</v>
      </c>
      <c r="G108" s="18"/>
      <c r="H108" s="20">
        <f t="shared" si="57"/>
        <v>13219.4</v>
      </c>
      <c r="I108" s="30">
        <f t="shared" si="58"/>
        <v>0</v>
      </c>
    </row>
    <row r="109" spans="1:9" s="1" customFormat="1">
      <c r="A109" s="33"/>
      <c r="B109" s="36"/>
      <c r="C109" s="17">
        <v>3120</v>
      </c>
      <c r="D109" s="18"/>
      <c r="E109" s="18"/>
      <c r="F109" s="18">
        <f>209815</f>
        <v>209815</v>
      </c>
      <c r="G109" s="18"/>
      <c r="H109" s="20">
        <f t="shared" si="57"/>
        <v>209815</v>
      </c>
      <c r="I109" s="30">
        <f t="shared" si="58"/>
        <v>0</v>
      </c>
    </row>
    <row r="110" spans="1:9" s="1" customFormat="1">
      <c r="A110" s="33"/>
      <c r="B110" s="36"/>
      <c r="C110" s="17">
        <v>3130</v>
      </c>
      <c r="D110" s="18"/>
      <c r="E110" s="18"/>
      <c r="F110" s="18">
        <f>2463.4</f>
        <v>2463.4</v>
      </c>
      <c r="G110" s="18"/>
      <c r="H110" s="20">
        <f t="shared" si="57"/>
        <v>2463.4</v>
      </c>
      <c r="I110" s="30">
        <f t="shared" si="58"/>
        <v>0</v>
      </c>
    </row>
    <row r="111" spans="1:9" s="1" customFormat="1">
      <c r="A111" s="33"/>
      <c r="B111" s="36"/>
      <c r="C111" s="17">
        <v>3140</v>
      </c>
      <c r="D111" s="18"/>
      <c r="E111" s="18"/>
      <c r="F111" s="18">
        <v>2174.1999999999998</v>
      </c>
      <c r="G111" s="18"/>
      <c r="H111" s="20">
        <f t="shared" ref="H111" si="59">D111+F111</f>
        <v>2174.1999999999998</v>
      </c>
      <c r="I111" s="30">
        <f t="shared" ref="I111" si="60">E111+G111</f>
        <v>0</v>
      </c>
    </row>
    <row r="112" spans="1:9" s="1" customFormat="1">
      <c r="A112" s="33"/>
      <c r="B112" s="36"/>
      <c r="C112" s="17">
        <v>3210</v>
      </c>
      <c r="D112" s="18"/>
      <c r="E112" s="18"/>
      <c r="F112" s="18">
        <v>13870</v>
      </c>
      <c r="G112" s="18"/>
      <c r="H112" s="20">
        <f t="shared" si="57"/>
        <v>13870</v>
      </c>
      <c r="I112" s="30">
        <f t="shared" si="58"/>
        <v>0</v>
      </c>
    </row>
    <row r="113" spans="1:9" s="1" customFormat="1">
      <c r="A113" s="34"/>
      <c r="B113" s="37"/>
      <c r="C113" s="19" t="s">
        <v>10</v>
      </c>
      <c r="D113" s="20">
        <f>SUM(D104:D112)</f>
        <v>0</v>
      </c>
      <c r="E113" s="20">
        <f t="shared" ref="E113:G113" si="61">SUM(E104:E112)</f>
        <v>0</v>
      </c>
      <c r="F113" s="20">
        <f>SUM(F104:F112)</f>
        <v>289494.40000000002</v>
      </c>
      <c r="G113" s="20">
        <f t="shared" si="61"/>
        <v>0</v>
      </c>
      <c r="H113" s="20">
        <f t="shared" si="57"/>
        <v>289494.40000000002</v>
      </c>
      <c r="I113" s="30">
        <f t="shared" si="58"/>
        <v>0</v>
      </c>
    </row>
    <row r="114" spans="1:9" s="1" customFormat="1" ht="29.25" customHeight="1">
      <c r="A114" s="38">
        <v>2401510</v>
      </c>
      <c r="B114" s="39" t="s">
        <v>12</v>
      </c>
      <c r="C114" s="40" t="s">
        <v>55</v>
      </c>
      <c r="D114" s="40"/>
      <c r="E114" s="40"/>
      <c r="F114" s="40"/>
      <c r="G114" s="40"/>
      <c r="H114" s="40"/>
      <c r="I114" s="41"/>
    </row>
    <row r="115" spans="1:9" s="1" customFormat="1">
      <c r="A115" s="38"/>
      <c r="B115" s="39"/>
      <c r="C115" s="17">
        <v>2240</v>
      </c>
      <c r="D115" s="18">
        <v>2.7</v>
      </c>
      <c r="E115" s="18">
        <v>0.8</v>
      </c>
      <c r="F115" s="18"/>
      <c r="G115" s="18"/>
      <c r="H115" s="20">
        <f t="shared" ref="H115:H117" si="62">D115+F115</f>
        <v>2.7</v>
      </c>
      <c r="I115" s="30">
        <f t="shared" ref="I115:I117" si="63">E115+G115</f>
        <v>0.8</v>
      </c>
    </row>
    <row r="116" spans="1:9" s="1" customFormat="1">
      <c r="A116" s="38"/>
      <c r="B116" s="39"/>
      <c r="C116" s="17">
        <v>2600</v>
      </c>
      <c r="D116" s="18">
        <v>211</v>
      </c>
      <c r="E116" s="18">
        <v>165.5</v>
      </c>
      <c r="F116" s="18"/>
      <c r="G116" s="18"/>
      <c r="H116" s="20">
        <f t="shared" ref="H116" si="64">D116+F116</f>
        <v>211</v>
      </c>
      <c r="I116" s="30">
        <f t="shared" ref="I116" si="65">E116+G116</f>
        <v>165.5</v>
      </c>
    </row>
    <row r="117" spans="1:9" s="1" customFormat="1">
      <c r="A117" s="38"/>
      <c r="B117" s="39"/>
      <c r="C117" s="19" t="s">
        <v>10</v>
      </c>
      <c r="D117" s="20">
        <f>SUM(D115:D116)</f>
        <v>213.7</v>
      </c>
      <c r="E117" s="20">
        <f t="shared" ref="E117:G117" si="66">SUM(E115:E116)</f>
        <v>166.3</v>
      </c>
      <c r="F117" s="20">
        <f t="shared" si="66"/>
        <v>0</v>
      </c>
      <c r="G117" s="20">
        <f t="shared" si="66"/>
        <v>0</v>
      </c>
      <c r="H117" s="20">
        <f t="shared" si="62"/>
        <v>213.7</v>
      </c>
      <c r="I117" s="30">
        <f t="shared" si="63"/>
        <v>166.3</v>
      </c>
    </row>
    <row r="118" spans="1:9" s="1" customFormat="1" ht="29.25" customHeight="1">
      <c r="A118" s="38">
        <v>2401520</v>
      </c>
      <c r="B118" s="39" t="s">
        <v>12</v>
      </c>
      <c r="C118" s="40" t="s">
        <v>56</v>
      </c>
      <c r="D118" s="40"/>
      <c r="E118" s="40"/>
      <c r="F118" s="40"/>
      <c r="G118" s="40"/>
      <c r="H118" s="40"/>
      <c r="I118" s="41"/>
    </row>
    <row r="119" spans="1:9" s="1" customFormat="1">
      <c r="A119" s="38"/>
      <c r="B119" s="39"/>
      <c r="C119" s="17">
        <v>2110</v>
      </c>
      <c r="D119" s="18">
        <v>886.9</v>
      </c>
      <c r="E119" s="18">
        <v>886.9</v>
      </c>
      <c r="F119" s="18"/>
      <c r="G119" s="18"/>
      <c r="H119" s="20">
        <f t="shared" ref="H119:H121" si="67">D119+F119</f>
        <v>886.9</v>
      </c>
      <c r="I119" s="30">
        <f t="shared" ref="I119:I121" si="68">E119+G119</f>
        <v>886.9</v>
      </c>
    </row>
    <row r="120" spans="1:9" s="1" customFormat="1">
      <c r="A120" s="38"/>
      <c r="B120" s="39"/>
      <c r="C120" s="17">
        <v>2120</v>
      </c>
      <c r="D120" s="18">
        <v>322.5</v>
      </c>
      <c r="E120" s="18">
        <v>322.5</v>
      </c>
      <c r="F120" s="18"/>
      <c r="G120" s="18"/>
      <c r="H120" s="20">
        <f t="shared" si="67"/>
        <v>322.5</v>
      </c>
      <c r="I120" s="30">
        <f t="shared" si="68"/>
        <v>322.5</v>
      </c>
    </row>
    <row r="121" spans="1:9" s="1" customFormat="1">
      <c r="A121" s="38"/>
      <c r="B121" s="39"/>
      <c r="C121" s="17">
        <v>2210</v>
      </c>
      <c r="D121" s="18">
        <v>6.3</v>
      </c>
      <c r="E121" s="18">
        <v>6.3</v>
      </c>
      <c r="F121" s="18"/>
      <c r="G121" s="18"/>
      <c r="H121" s="20">
        <f t="shared" si="67"/>
        <v>6.3</v>
      </c>
      <c r="I121" s="30">
        <f t="shared" si="68"/>
        <v>6.3</v>
      </c>
    </row>
    <row r="122" spans="1:9" s="1" customFormat="1">
      <c r="A122" s="38"/>
      <c r="B122" s="39"/>
      <c r="C122" s="17">
        <v>2240</v>
      </c>
      <c r="D122" s="18">
        <v>27.3</v>
      </c>
      <c r="E122" s="18">
        <v>27.3</v>
      </c>
      <c r="F122" s="18"/>
      <c r="G122" s="18"/>
      <c r="H122" s="20">
        <f t="shared" ref="H122:H124" si="69">D122+F122</f>
        <v>27.3</v>
      </c>
      <c r="I122" s="30">
        <f t="shared" ref="I122:I124" si="70">E122+G122</f>
        <v>27.3</v>
      </c>
    </row>
    <row r="123" spans="1:9" s="1" customFormat="1">
      <c r="A123" s="38"/>
      <c r="B123" s="39"/>
      <c r="C123" s="17">
        <v>2270</v>
      </c>
      <c r="D123" s="18">
        <v>46.7</v>
      </c>
      <c r="E123" s="18">
        <v>15.9</v>
      </c>
      <c r="F123" s="18"/>
      <c r="G123" s="18"/>
      <c r="H123" s="20">
        <f t="shared" si="69"/>
        <v>46.7</v>
      </c>
      <c r="I123" s="30">
        <f t="shared" si="70"/>
        <v>15.9</v>
      </c>
    </row>
    <row r="124" spans="1:9" s="1" customFormat="1">
      <c r="A124" s="38"/>
      <c r="B124" s="39"/>
      <c r="C124" s="19" t="s">
        <v>10</v>
      </c>
      <c r="D124" s="20">
        <f>SUM(D119:D123)</f>
        <v>1289.7</v>
      </c>
      <c r="E124" s="20">
        <f t="shared" ref="E124:G124" si="71">SUM(E119:E123)</f>
        <v>1258.9000000000001</v>
      </c>
      <c r="F124" s="20">
        <f t="shared" si="71"/>
        <v>0</v>
      </c>
      <c r="G124" s="20">
        <f t="shared" si="71"/>
        <v>0</v>
      </c>
      <c r="H124" s="20">
        <f t="shared" si="69"/>
        <v>1289.7</v>
      </c>
      <c r="I124" s="30">
        <f t="shared" si="70"/>
        <v>1258.9000000000001</v>
      </c>
    </row>
    <row r="125" spans="1:9" s="1" customFormat="1" ht="45" customHeight="1">
      <c r="A125" s="38">
        <v>2401530</v>
      </c>
      <c r="B125" s="39" t="s">
        <v>19</v>
      </c>
      <c r="C125" s="40" t="s">
        <v>59</v>
      </c>
      <c r="D125" s="40"/>
      <c r="E125" s="40"/>
      <c r="F125" s="40"/>
      <c r="G125" s="40"/>
      <c r="H125" s="40"/>
      <c r="I125" s="41"/>
    </row>
    <row r="126" spans="1:9" s="1" customFormat="1">
      <c r="A126" s="38"/>
      <c r="B126" s="39"/>
      <c r="C126" s="17">
        <v>2240</v>
      </c>
      <c r="D126" s="18"/>
      <c r="E126" s="18"/>
      <c r="F126" s="18">
        <v>21330.799999999999</v>
      </c>
      <c r="G126" s="18">
        <v>5892</v>
      </c>
      <c r="H126" s="20">
        <f t="shared" ref="H126:H131" si="72">D126+F126</f>
        <v>21330.799999999999</v>
      </c>
      <c r="I126" s="30">
        <f t="shared" ref="I126:I131" si="73">E126+G126</f>
        <v>5892</v>
      </c>
    </row>
    <row r="127" spans="1:9" s="1" customFormat="1">
      <c r="A127" s="38"/>
      <c r="B127" s="39"/>
      <c r="C127" s="17">
        <v>2250</v>
      </c>
      <c r="D127" s="18"/>
      <c r="E127" s="18"/>
      <c r="F127" s="18">
        <v>642</v>
      </c>
      <c r="G127" s="18">
        <v>61.1</v>
      </c>
      <c r="H127" s="20">
        <f t="shared" si="72"/>
        <v>642</v>
      </c>
      <c r="I127" s="30">
        <f t="shared" si="73"/>
        <v>61.1</v>
      </c>
    </row>
    <row r="128" spans="1:9" s="1" customFormat="1">
      <c r="A128" s="38"/>
      <c r="B128" s="39"/>
      <c r="C128" s="17">
        <v>2600</v>
      </c>
      <c r="D128" s="18"/>
      <c r="E128" s="18"/>
      <c r="F128" s="18">
        <v>2670</v>
      </c>
      <c r="G128" s="18">
        <v>2147.3000000000002</v>
      </c>
      <c r="H128" s="20">
        <f t="shared" si="72"/>
        <v>2670</v>
      </c>
      <c r="I128" s="30">
        <f t="shared" si="73"/>
        <v>2147.3000000000002</v>
      </c>
    </row>
    <row r="129" spans="1:9" s="1" customFormat="1">
      <c r="A129" s="38"/>
      <c r="B129" s="39"/>
      <c r="C129" s="17">
        <v>3140</v>
      </c>
      <c r="D129" s="18"/>
      <c r="E129" s="18"/>
      <c r="F129" s="18">
        <v>650864.30000000005</v>
      </c>
      <c r="G129" s="18">
        <v>568856</v>
      </c>
      <c r="H129" s="20">
        <f t="shared" si="72"/>
        <v>650864.30000000005</v>
      </c>
      <c r="I129" s="30">
        <f t="shared" si="73"/>
        <v>568856</v>
      </c>
    </row>
    <row r="130" spans="1:9" s="1" customFormat="1">
      <c r="A130" s="38"/>
      <c r="B130" s="39"/>
      <c r="C130" s="17">
        <v>3210</v>
      </c>
      <c r="D130" s="18"/>
      <c r="E130" s="18"/>
      <c r="F130" s="18">
        <v>99113.2</v>
      </c>
      <c r="G130" s="18">
        <v>91571.3</v>
      </c>
      <c r="H130" s="20">
        <f t="shared" si="72"/>
        <v>99113.2</v>
      </c>
      <c r="I130" s="30">
        <f t="shared" si="73"/>
        <v>91571.3</v>
      </c>
    </row>
    <row r="131" spans="1:9" s="1" customFormat="1">
      <c r="A131" s="38"/>
      <c r="B131" s="39"/>
      <c r="C131" s="19" t="s">
        <v>10</v>
      </c>
      <c r="D131" s="20">
        <f>SUM(D126:D130)</f>
        <v>0</v>
      </c>
      <c r="E131" s="20">
        <f t="shared" ref="E131:G131" si="74">SUM(E126:E130)</f>
        <v>0</v>
      </c>
      <c r="F131" s="20">
        <f>SUM(F126:F130)</f>
        <v>774620.3</v>
      </c>
      <c r="G131" s="20">
        <f t="shared" si="74"/>
        <v>668527.70000000007</v>
      </c>
      <c r="H131" s="20">
        <f t="shared" si="72"/>
        <v>774620.3</v>
      </c>
      <c r="I131" s="30">
        <f t="shared" si="73"/>
        <v>668527.70000000007</v>
      </c>
    </row>
    <row r="132" spans="1:9" s="1" customFormat="1" ht="30" customHeight="1">
      <c r="A132" s="54">
        <v>2402000</v>
      </c>
      <c r="B132" s="55"/>
      <c r="C132" s="51" t="s">
        <v>57</v>
      </c>
      <c r="D132" s="52"/>
      <c r="E132" s="52"/>
      <c r="F132" s="52"/>
      <c r="G132" s="52"/>
      <c r="H132" s="52"/>
      <c r="I132" s="53"/>
    </row>
    <row r="133" spans="1:9" s="1" customFormat="1" ht="15.75" customHeight="1">
      <c r="A133" s="54"/>
      <c r="B133" s="55"/>
      <c r="C133" s="17">
        <v>2110</v>
      </c>
      <c r="D133" s="20">
        <f t="shared" ref="D133:D138" si="75">D145</f>
        <v>1182</v>
      </c>
      <c r="E133" s="20">
        <f t="shared" ref="E133:G133" si="76">E145</f>
        <v>1182</v>
      </c>
      <c r="F133" s="20">
        <f t="shared" si="76"/>
        <v>0</v>
      </c>
      <c r="G133" s="20">
        <f t="shared" si="76"/>
        <v>0</v>
      </c>
      <c r="H133" s="20">
        <f>D133+F133</f>
        <v>1182</v>
      </c>
      <c r="I133" s="30">
        <f>E133+G133</f>
        <v>1182</v>
      </c>
    </row>
    <row r="134" spans="1:9" s="1" customFormat="1" ht="15.75" customHeight="1">
      <c r="A134" s="54"/>
      <c r="B134" s="55"/>
      <c r="C134" s="17">
        <v>2120</v>
      </c>
      <c r="D134" s="20">
        <f t="shared" si="75"/>
        <v>403.6</v>
      </c>
      <c r="E134" s="20">
        <f t="shared" ref="E134:G134" si="77">E146</f>
        <v>350.2</v>
      </c>
      <c r="F134" s="20">
        <f t="shared" si="77"/>
        <v>0</v>
      </c>
      <c r="G134" s="20">
        <f t="shared" si="77"/>
        <v>0</v>
      </c>
      <c r="H134" s="20">
        <f t="shared" ref="H134:H142" si="78">D134+F134</f>
        <v>403.6</v>
      </c>
      <c r="I134" s="30">
        <f t="shared" ref="I134:I142" si="79">E134+G134</f>
        <v>350.2</v>
      </c>
    </row>
    <row r="135" spans="1:9" s="1" customFormat="1" ht="15.75" customHeight="1">
      <c r="A135" s="54"/>
      <c r="B135" s="55"/>
      <c r="C135" s="17">
        <v>2210</v>
      </c>
      <c r="D135" s="20">
        <f t="shared" si="75"/>
        <v>20.6</v>
      </c>
      <c r="E135" s="20">
        <f t="shared" ref="E135:G135" si="80">E147</f>
        <v>15.8</v>
      </c>
      <c r="F135" s="20">
        <f t="shared" si="80"/>
        <v>0</v>
      </c>
      <c r="G135" s="20">
        <f t="shared" si="80"/>
        <v>0</v>
      </c>
      <c r="H135" s="20">
        <f t="shared" si="78"/>
        <v>20.6</v>
      </c>
      <c r="I135" s="30">
        <f t="shared" si="79"/>
        <v>15.8</v>
      </c>
    </row>
    <row r="136" spans="1:9" s="1" customFormat="1" ht="15.75" customHeight="1">
      <c r="A136" s="54"/>
      <c r="B136" s="55"/>
      <c r="C136" s="17">
        <v>2240</v>
      </c>
      <c r="D136" s="20">
        <f t="shared" si="75"/>
        <v>230.6</v>
      </c>
      <c r="E136" s="20">
        <f t="shared" ref="E136:G136" si="81">E148</f>
        <v>221.6</v>
      </c>
      <c r="F136" s="20">
        <f t="shared" si="81"/>
        <v>725.4</v>
      </c>
      <c r="G136" s="20">
        <f t="shared" si="81"/>
        <v>725.4</v>
      </c>
      <c r="H136" s="20">
        <f t="shared" si="78"/>
        <v>956</v>
      </c>
      <c r="I136" s="30">
        <f t="shared" si="79"/>
        <v>947</v>
      </c>
    </row>
    <row r="137" spans="1:9" s="1" customFormat="1" ht="15.75" customHeight="1">
      <c r="A137" s="54"/>
      <c r="B137" s="55"/>
      <c r="C137" s="17">
        <v>2250</v>
      </c>
      <c r="D137" s="20">
        <f t="shared" si="75"/>
        <v>0</v>
      </c>
      <c r="E137" s="20">
        <f t="shared" ref="E137:G137" si="82">E149</f>
        <v>0</v>
      </c>
      <c r="F137" s="20">
        <f t="shared" si="82"/>
        <v>0</v>
      </c>
      <c r="G137" s="20">
        <f t="shared" si="82"/>
        <v>0</v>
      </c>
      <c r="H137" s="20">
        <f t="shared" si="78"/>
        <v>0</v>
      </c>
      <c r="I137" s="30">
        <f t="shared" si="79"/>
        <v>0</v>
      </c>
    </row>
    <row r="138" spans="1:9" s="1" customFormat="1" ht="15.75" customHeight="1">
      <c r="A138" s="54"/>
      <c r="B138" s="55"/>
      <c r="C138" s="17">
        <v>2270</v>
      </c>
      <c r="D138" s="20">
        <f t="shared" si="75"/>
        <v>109.8</v>
      </c>
      <c r="E138" s="20">
        <f t="shared" ref="E138:G138" si="83">E150</f>
        <v>72.599999999999994</v>
      </c>
      <c r="F138" s="20">
        <f t="shared" si="83"/>
        <v>0</v>
      </c>
      <c r="G138" s="20">
        <f t="shared" si="83"/>
        <v>0</v>
      </c>
      <c r="H138" s="20">
        <f t="shared" si="78"/>
        <v>109.8</v>
      </c>
      <c r="I138" s="30">
        <f t="shared" si="79"/>
        <v>72.599999999999994</v>
      </c>
    </row>
    <row r="139" spans="1:9" s="1" customFormat="1" ht="15.75" customHeight="1">
      <c r="A139" s="54"/>
      <c r="B139" s="55"/>
      <c r="C139" s="17">
        <v>2281</v>
      </c>
      <c r="D139" s="20">
        <f t="shared" ref="D139:D142" si="84">D151</f>
        <v>0</v>
      </c>
      <c r="E139" s="20">
        <f t="shared" ref="E139:G139" si="85">E151</f>
        <v>0</v>
      </c>
      <c r="F139" s="20">
        <f t="shared" si="85"/>
        <v>0</v>
      </c>
      <c r="G139" s="20">
        <f t="shared" si="85"/>
        <v>0</v>
      </c>
      <c r="H139" s="20">
        <f t="shared" si="78"/>
        <v>0</v>
      </c>
      <c r="I139" s="30">
        <f t="shared" si="79"/>
        <v>0</v>
      </c>
    </row>
    <row r="140" spans="1:9" s="1" customFormat="1" ht="15.75" customHeight="1">
      <c r="A140" s="54"/>
      <c r="B140" s="55"/>
      <c r="C140" s="17">
        <v>2282</v>
      </c>
      <c r="D140" s="20">
        <f t="shared" si="84"/>
        <v>0</v>
      </c>
      <c r="E140" s="20">
        <f t="shared" ref="E140:G140" si="86">E152</f>
        <v>0</v>
      </c>
      <c r="F140" s="20">
        <f t="shared" si="86"/>
        <v>0</v>
      </c>
      <c r="G140" s="20">
        <f t="shared" si="86"/>
        <v>0</v>
      </c>
      <c r="H140" s="20">
        <f t="shared" si="78"/>
        <v>0</v>
      </c>
      <c r="I140" s="30">
        <f t="shared" si="79"/>
        <v>0</v>
      </c>
    </row>
    <row r="141" spans="1:9" s="1" customFormat="1" ht="15.75" customHeight="1">
      <c r="A141" s="54"/>
      <c r="B141" s="55"/>
      <c r="C141" s="17">
        <v>2800</v>
      </c>
      <c r="D141" s="20">
        <f t="shared" si="84"/>
        <v>6.9</v>
      </c>
      <c r="E141" s="20">
        <f t="shared" ref="E141:G141" si="87">E153</f>
        <v>6.8</v>
      </c>
      <c r="F141" s="20">
        <f t="shared" si="87"/>
        <v>0</v>
      </c>
      <c r="G141" s="20">
        <f t="shared" si="87"/>
        <v>0</v>
      </c>
      <c r="H141" s="20">
        <f t="shared" si="78"/>
        <v>6.9</v>
      </c>
      <c r="I141" s="30">
        <f t="shared" si="79"/>
        <v>6.8</v>
      </c>
    </row>
    <row r="142" spans="1:9" s="1" customFormat="1" ht="15.75" customHeight="1">
      <c r="A142" s="54"/>
      <c r="B142" s="55"/>
      <c r="C142" s="17">
        <v>3110</v>
      </c>
      <c r="D142" s="20">
        <f t="shared" si="84"/>
        <v>0</v>
      </c>
      <c r="E142" s="20">
        <f t="shared" ref="E142:G142" si="88">E154</f>
        <v>0</v>
      </c>
      <c r="F142" s="20">
        <f t="shared" si="88"/>
        <v>0</v>
      </c>
      <c r="G142" s="20">
        <f t="shared" si="88"/>
        <v>0</v>
      </c>
      <c r="H142" s="20">
        <f t="shared" si="78"/>
        <v>0</v>
      </c>
      <c r="I142" s="30">
        <f t="shared" si="79"/>
        <v>0</v>
      </c>
    </row>
    <row r="143" spans="1:9" s="1" customFormat="1" ht="15.75" customHeight="1">
      <c r="A143" s="54"/>
      <c r="B143" s="55"/>
      <c r="C143" s="19" t="s">
        <v>10</v>
      </c>
      <c r="D143" s="20">
        <f>SUM(D133:D142)</f>
        <v>1953.4999999999998</v>
      </c>
      <c r="E143" s="20">
        <f t="shared" ref="E143:G143" si="89">SUM(E133:E142)</f>
        <v>1848.9999999999998</v>
      </c>
      <c r="F143" s="20">
        <f t="shared" si="89"/>
        <v>725.4</v>
      </c>
      <c r="G143" s="20">
        <f t="shared" si="89"/>
        <v>725.4</v>
      </c>
      <c r="H143" s="20">
        <f>D143+F143</f>
        <v>2678.8999999999996</v>
      </c>
      <c r="I143" s="30">
        <f>E143+G143</f>
        <v>2574.3999999999996</v>
      </c>
    </row>
    <row r="144" spans="1:9" s="1" customFormat="1">
      <c r="A144" s="38">
        <v>2402010</v>
      </c>
      <c r="B144" s="39" t="s">
        <v>12</v>
      </c>
      <c r="C144" s="48" t="s">
        <v>58</v>
      </c>
      <c r="D144" s="49"/>
      <c r="E144" s="49"/>
      <c r="F144" s="49"/>
      <c r="G144" s="49"/>
      <c r="H144" s="49"/>
      <c r="I144" s="50"/>
    </row>
    <row r="145" spans="1:9" s="1" customFormat="1">
      <c r="A145" s="38"/>
      <c r="B145" s="39"/>
      <c r="C145" s="17">
        <v>2110</v>
      </c>
      <c r="D145" s="18">
        <v>1182</v>
      </c>
      <c r="E145" s="18">
        <v>1182</v>
      </c>
      <c r="F145" s="18"/>
      <c r="G145" s="18"/>
      <c r="H145" s="20">
        <f t="shared" ref="H145:H155" si="90">D145+F145</f>
        <v>1182</v>
      </c>
      <c r="I145" s="30">
        <f t="shared" ref="I145:I155" si="91">E145+G145</f>
        <v>1182</v>
      </c>
    </row>
    <row r="146" spans="1:9" s="1" customFormat="1">
      <c r="A146" s="38"/>
      <c r="B146" s="39"/>
      <c r="C146" s="17">
        <v>2120</v>
      </c>
      <c r="D146" s="18">
        <v>403.6</v>
      </c>
      <c r="E146" s="18">
        <v>350.2</v>
      </c>
      <c r="F146" s="18"/>
      <c r="G146" s="18"/>
      <c r="H146" s="20">
        <f t="shared" si="90"/>
        <v>403.6</v>
      </c>
      <c r="I146" s="30">
        <f t="shared" si="91"/>
        <v>350.2</v>
      </c>
    </row>
    <row r="147" spans="1:9" s="1" customFormat="1">
      <c r="A147" s="38"/>
      <c r="B147" s="39"/>
      <c r="C147" s="17">
        <v>2210</v>
      </c>
      <c r="D147" s="18">
        <v>20.6</v>
      </c>
      <c r="E147" s="18">
        <v>15.8</v>
      </c>
      <c r="F147" s="18"/>
      <c r="G147" s="18"/>
      <c r="H147" s="20">
        <f t="shared" si="90"/>
        <v>20.6</v>
      </c>
      <c r="I147" s="30">
        <f t="shared" si="91"/>
        <v>15.8</v>
      </c>
    </row>
    <row r="148" spans="1:9" s="1" customFormat="1">
      <c r="A148" s="38"/>
      <c r="B148" s="39"/>
      <c r="C148" s="17">
        <v>2240</v>
      </c>
      <c r="D148" s="18">
        <v>230.6</v>
      </c>
      <c r="E148" s="18">
        <v>221.6</v>
      </c>
      <c r="F148" s="18">
        <f>725.4</f>
        <v>725.4</v>
      </c>
      <c r="G148" s="18">
        <f>725.4</f>
        <v>725.4</v>
      </c>
      <c r="H148" s="20">
        <f t="shared" si="90"/>
        <v>956</v>
      </c>
      <c r="I148" s="30">
        <f t="shared" si="91"/>
        <v>947</v>
      </c>
    </row>
    <row r="149" spans="1:9" s="1" customFormat="1">
      <c r="A149" s="38"/>
      <c r="B149" s="39"/>
      <c r="C149" s="17">
        <v>2250</v>
      </c>
      <c r="D149" s="18"/>
      <c r="E149" s="18"/>
      <c r="F149" s="18"/>
      <c r="G149" s="18"/>
      <c r="H149" s="20">
        <f t="shared" si="90"/>
        <v>0</v>
      </c>
      <c r="I149" s="30">
        <f t="shared" si="91"/>
        <v>0</v>
      </c>
    </row>
    <row r="150" spans="1:9" s="1" customFormat="1">
      <c r="A150" s="38"/>
      <c r="B150" s="39"/>
      <c r="C150" s="17">
        <v>2270</v>
      </c>
      <c r="D150" s="18">
        <v>109.8</v>
      </c>
      <c r="E150" s="18">
        <v>72.599999999999994</v>
      </c>
      <c r="F150" s="18"/>
      <c r="G150" s="18"/>
      <c r="H150" s="20">
        <f t="shared" si="90"/>
        <v>109.8</v>
      </c>
      <c r="I150" s="30">
        <f t="shared" si="91"/>
        <v>72.599999999999994</v>
      </c>
    </row>
    <row r="151" spans="1:9" s="1" customFormat="1">
      <c r="A151" s="38"/>
      <c r="B151" s="39"/>
      <c r="C151" s="17">
        <v>2281</v>
      </c>
      <c r="D151" s="18"/>
      <c r="E151" s="18"/>
      <c r="F151" s="18"/>
      <c r="G151" s="18"/>
      <c r="H151" s="20">
        <f t="shared" si="90"/>
        <v>0</v>
      </c>
      <c r="I151" s="30">
        <f t="shared" si="91"/>
        <v>0</v>
      </c>
    </row>
    <row r="152" spans="1:9" s="1" customFormat="1">
      <c r="A152" s="38"/>
      <c r="B152" s="39"/>
      <c r="C152" s="17">
        <v>2282</v>
      </c>
      <c r="D152" s="18"/>
      <c r="E152" s="18"/>
      <c r="F152" s="18"/>
      <c r="G152" s="18"/>
      <c r="H152" s="20">
        <f t="shared" si="90"/>
        <v>0</v>
      </c>
      <c r="I152" s="30">
        <f t="shared" si="91"/>
        <v>0</v>
      </c>
    </row>
    <row r="153" spans="1:9" s="1" customFormat="1">
      <c r="A153" s="38"/>
      <c r="B153" s="39"/>
      <c r="C153" s="17">
        <v>2800</v>
      </c>
      <c r="D153" s="18">
        <v>6.9</v>
      </c>
      <c r="E153" s="18">
        <v>6.8</v>
      </c>
      <c r="F153" s="18"/>
      <c r="G153" s="18"/>
      <c r="H153" s="20">
        <f t="shared" si="90"/>
        <v>6.9</v>
      </c>
      <c r="I153" s="30">
        <f t="shared" si="91"/>
        <v>6.8</v>
      </c>
    </row>
    <row r="154" spans="1:9" s="1" customFormat="1">
      <c r="A154" s="38"/>
      <c r="B154" s="39"/>
      <c r="C154" s="17">
        <v>3110</v>
      </c>
      <c r="D154" s="18"/>
      <c r="E154" s="18"/>
      <c r="F154" s="18"/>
      <c r="G154" s="18"/>
      <c r="H154" s="20">
        <f t="shared" si="90"/>
        <v>0</v>
      </c>
      <c r="I154" s="30">
        <f t="shared" si="91"/>
        <v>0</v>
      </c>
    </row>
    <row r="155" spans="1:9" s="1" customFormat="1">
      <c r="A155" s="38"/>
      <c r="B155" s="39"/>
      <c r="C155" s="19" t="s">
        <v>10</v>
      </c>
      <c r="D155" s="20">
        <f>SUM(D145:D154)</f>
        <v>1953.4999999999998</v>
      </c>
      <c r="E155" s="20">
        <f t="shared" ref="E155:G155" si="92">SUM(E145:E154)</f>
        <v>1848.9999999999998</v>
      </c>
      <c r="F155" s="20">
        <f t="shared" si="92"/>
        <v>725.4</v>
      </c>
      <c r="G155" s="20">
        <f t="shared" si="92"/>
        <v>725.4</v>
      </c>
      <c r="H155" s="20">
        <f t="shared" si="90"/>
        <v>2678.8999999999996</v>
      </c>
      <c r="I155" s="30">
        <f t="shared" si="91"/>
        <v>2574.3999999999996</v>
      </c>
    </row>
    <row r="156" spans="1:9" s="1" customFormat="1" ht="30" customHeight="1">
      <c r="A156" s="54">
        <v>2404000</v>
      </c>
      <c r="B156" s="55"/>
      <c r="C156" s="51" t="s">
        <v>20</v>
      </c>
      <c r="D156" s="52"/>
      <c r="E156" s="52"/>
      <c r="F156" s="52"/>
      <c r="G156" s="52"/>
      <c r="H156" s="52"/>
      <c r="I156" s="53"/>
    </row>
    <row r="157" spans="1:9" s="1" customFormat="1" ht="15.75" customHeight="1">
      <c r="A157" s="54"/>
      <c r="B157" s="55"/>
      <c r="C157" s="17">
        <v>2110</v>
      </c>
      <c r="D157" s="20">
        <f t="shared" ref="D157:D162" si="93">D169</f>
        <v>7563.7</v>
      </c>
      <c r="E157" s="20">
        <f t="shared" ref="E157:G157" si="94">E169</f>
        <v>7563.7</v>
      </c>
      <c r="F157" s="20">
        <f t="shared" si="94"/>
        <v>0</v>
      </c>
      <c r="G157" s="20">
        <f t="shared" si="94"/>
        <v>0</v>
      </c>
      <c r="H157" s="20">
        <f>D157+F157</f>
        <v>7563.7</v>
      </c>
      <c r="I157" s="30">
        <f>E157+G157</f>
        <v>7563.7</v>
      </c>
    </row>
    <row r="158" spans="1:9" s="1" customFormat="1" ht="15.75" customHeight="1">
      <c r="A158" s="54"/>
      <c r="B158" s="55"/>
      <c r="C158" s="17">
        <v>2120</v>
      </c>
      <c r="D158" s="20">
        <f t="shared" si="93"/>
        <v>2758.1</v>
      </c>
      <c r="E158" s="20">
        <f t="shared" ref="E158:G158" si="95">E170</f>
        <v>2756.9</v>
      </c>
      <c r="F158" s="20">
        <f t="shared" si="95"/>
        <v>0</v>
      </c>
      <c r="G158" s="20">
        <f t="shared" si="95"/>
        <v>0</v>
      </c>
      <c r="H158" s="20">
        <f t="shared" ref="H158:I166" si="96">D158+F158</f>
        <v>2758.1</v>
      </c>
      <c r="I158" s="30">
        <f t="shared" si="96"/>
        <v>2756.9</v>
      </c>
    </row>
    <row r="159" spans="1:9" s="1" customFormat="1" ht="15.75" customHeight="1">
      <c r="A159" s="54"/>
      <c r="B159" s="55"/>
      <c r="C159" s="17">
        <v>2210</v>
      </c>
      <c r="D159" s="20">
        <f t="shared" si="93"/>
        <v>0</v>
      </c>
      <c r="E159" s="20">
        <f t="shared" ref="E159:G159" si="97">E171</f>
        <v>0</v>
      </c>
      <c r="F159" s="20">
        <f t="shared" si="97"/>
        <v>1000</v>
      </c>
      <c r="G159" s="20">
        <f t="shared" si="97"/>
        <v>826.7</v>
      </c>
      <c r="H159" s="20">
        <f t="shared" si="96"/>
        <v>1000</v>
      </c>
      <c r="I159" s="30">
        <f t="shared" si="96"/>
        <v>826.7</v>
      </c>
    </row>
    <row r="160" spans="1:9" s="1" customFormat="1" ht="15.75" customHeight="1">
      <c r="A160" s="54"/>
      <c r="B160" s="55"/>
      <c r="C160" s="17">
        <v>2240</v>
      </c>
      <c r="D160" s="20">
        <f t="shared" si="93"/>
        <v>0</v>
      </c>
      <c r="E160" s="20">
        <f t="shared" ref="E160:G160" si="98">E172</f>
        <v>0</v>
      </c>
      <c r="F160" s="20">
        <f t="shared" si="98"/>
        <v>13453.8</v>
      </c>
      <c r="G160" s="20">
        <f t="shared" si="98"/>
        <v>13014.3</v>
      </c>
      <c r="H160" s="20">
        <f t="shared" si="96"/>
        <v>13453.8</v>
      </c>
      <c r="I160" s="30">
        <f t="shared" si="96"/>
        <v>13014.3</v>
      </c>
    </row>
    <row r="161" spans="1:9" s="1" customFormat="1" ht="15.75" customHeight="1">
      <c r="A161" s="54"/>
      <c r="B161" s="55"/>
      <c r="C161" s="17">
        <v>2250</v>
      </c>
      <c r="D161" s="20">
        <f t="shared" si="93"/>
        <v>0</v>
      </c>
      <c r="E161" s="20">
        <f t="shared" ref="E161:G161" si="99">E173</f>
        <v>0</v>
      </c>
      <c r="F161" s="20">
        <f t="shared" si="99"/>
        <v>150</v>
      </c>
      <c r="G161" s="20">
        <f t="shared" si="99"/>
        <v>149.80000000000001</v>
      </c>
      <c r="H161" s="20">
        <f t="shared" si="96"/>
        <v>150</v>
      </c>
      <c r="I161" s="30">
        <f t="shared" si="96"/>
        <v>149.80000000000001</v>
      </c>
    </row>
    <row r="162" spans="1:9" s="1" customFormat="1" ht="15.75" customHeight="1">
      <c r="A162" s="54"/>
      <c r="B162" s="55"/>
      <c r="C162" s="17">
        <v>2270</v>
      </c>
      <c r="D162" s="20">
        <f t="shared" si="93"/>
        <v>22</v>
      </c>
      <c r="E162" s="20">
        <f t="shared" ref="E162:G162" si="100">E174</f>
        <v>0</v>
      </c>
      <c r="F162" s="20">
        <f t="shared" si="100"/>
        <v>400</v>
      </c>
      <c r="G162" s="20">
        <f t="shared" si="100"/>
        <v>290.5</v>
      </c>
      <c r="H162" s="20">
        <f t="shared" si="96"/>
        <v>422</v>
      </c>
      <c r="I162" s="30">
        <f t="shared" si="96"/>
        <v>290.5</v>
      </c>
    </row>
    <row r="163" spans="1:9" s="1" customFormat="1" ht="15.75" customHeight="1">
      <c r="A163" s="54"/>
      <c r="B163" s="55"/>
      <c r="C163" s="17">
        <v>2281</v>
      </c>
      <c r="D163" s="20">
        <f>D175+D181</f>
        <v>100000</v>
      </c>
      <c r="E163" s="20">
        <f t="shared" ref="E163:G163" si="101">E175+E181</f>
        <v>89883.9</v>
      </c>
      <c r="F163" s="20">
        <f t="shared" si="101"/>
        <v>2000</v>
      </c>
      <c r="G163" s="20">
        <f t="shared" si="101"/>
        <v>1510.5</v>
      </c>
      <c r="H163" s="20">
        <f t="shared" si="96"/>
        <v>102000</v>
      </c>
      <c r="I163" s="30">
        <f t="shared" si="96"/>
        <v>91394.4</v>
      </c>
    </row>
    <row r="164" spans="1:9" s="1" customFormat="1" ht="15.75" customHeight="1">
      <c r="A164" s="54"/>
      <c r="B164" s="55"/>
      <c r="C164" s="17">
        <v>2282</v>
      </c>
      <c r="D164" s="20">
        <f>D176</f>
        <v>0</v>
      </c>
      <c r="E164" s="20">
        <f t="shared" ref="E164:G164" si="102">E176</f>
        <v>0</v>
      </c>
      <c r="F164" s="20">
        <f t="shared" si="102"/>
        <v>26.2</v>
      </c>
      <c r="G164" s="20">
        <f t="shared" si="102"/>
        <v>10</v>
      </c>
      <c r="H164" s="20">
        <f t="shared" si="96"/>
        <v>26.2</v>
      </c>
      <c r="I164" s="30">
        <f t="shared" si="96"/>
        <v>10</v>
      </c>
    </row>
    <row r="165" spans="1:9" s="1" customFormat="1" ht="15.75" customHeight="1">
      <c r="A165" s="54"/>
      <c r="B165" s="55"/>
      <c r="C165" s="17">
        <v>2800</v>
      </c>
      <c r="D165" s="20">
        <f>D177</f>
        <v>0</v>
      </c>
      <c r="E165" s="20">
        <f t="shared" ref="E165:G165" si="103">E177</f>
        <v>0</v>
      </c>
      <c r="F165" s="20">
        <f t="shared" si="103"/>
        <v>7510.9</v>
      </c>
      <c r="G165" s="20">
        <f t="shared" si="103"/>
        <v>5372.1</v>
      </c>
      <c r="H165" s="20">
        <f t="shared" si="96"/>
        <v>7510.9</v>
      </c>
      <c r="I165" s="30">
        <f t="shared" si="96"/>
        <v>5372.1</v>
      </c>
    </row>
    <row r="166" spans="1:9" s="1" customFormat="1" ht="15.75" customHeight="1">
      <c r="A166" s="54"/>
      <c r="B166" s="55"/>
      <c r="C166" s="17">
        <v>3110</v>
      </c>
      <c r="D166" s="20">
        <f>D178</f>
        <v>0</v>
      </c>
      <c r="E166" s="20">
        <f t="shared" ref="E166:G166" si="104">E178</f>
        <v>0</v>
      </c>
      <c r="F166" s="20">
        <f t="shared" si="104"/>
        <v>7654.7</v>
      </c>
      <c r="G166" s="20">
        <f t="shared" si="104"/>
        <v>7654.7</v>
      </c>
      <c r="H166" s="20">
        <f t="shared" si="96"/>
        <v>7654.7</v>
      </c>
      <c r="I166" s="30">
        <f t="shared" si="96"/>
        <v>7654.7</v>
      </c>
    </row>
    <row r="167" spans="1:9" s="1" customFormat="1" ht="15.75" customHeight="1">
      <c r="A167" s="54"/>
      <c r="B167" s="55"/>
      <c r="C167" s="19" t="s">
        <v>10</v>
      </c>
      <c r="D167" s="20">
        <f>SUM(D157:D166)</f>
        <v>110343.8</v>
      </c>
      <c r="E167" s="20">
        <f t="shared" ref="E167:G167" si="105">SUM(E157:E166)</f>
        <v>100204.5</v>
      </c>
      <c r="F167" s="20">
        <f t="shared" si="105"/>
        <v>32195.600000000002</v>
      </c>
      <c r="G167" s="20">
        <f t="shared" si="105"/>
        <v>28828.600000000002</v>
      </c>
      <c r="H167" s="20">
        <f>D167+F167</f>
        <v>142539.4</v>
      </c>
      <c r="I167" s="30">
        <f>E167+G167</f>
        <v>129033.1</v>
      </c>
    </row>
    <row r="168" spans="1:9" s="1" customFormat="1">
      <c r="A168" s="38">
        <v>2404010</v>
      </c>
      <c r="B168" s="39" t="s">
        <v>21</v>
      </c>
      <c r="C168" s="48" t="s">
        <v>22</v>
      </c>
      <c r="D168" s="49"/>
      <c r="E168" s="49"/>
      <c r="F168" s="49"/>
      <c r="G168" s="49"/>
      <c r="H168" s="49"/>
      <c r="I168" s="50"/>
    </row>
    <row r="169" spans="1:9" s="1" customFormat="1">
      <c r="A169" s="38"/>
      <c r="B169" s="39"/>
      <c r="C169" s="17">
        <v>2110</v>
      </c>
      <c r="D169" s="18">
        <v>7563.7</v>
      </c>
      <c r="E169" s="18">
        <v>7563.7</v>
      </c>
      <c r="F169" s="18"/>
      <c r="G169" s="18"/>
      <c r="H169" s="20">
        <f t="shared" ref="H169:I174" si="106">D169+F169</f>
        <v>7563.7</v>
      </c>
      <c r="I169" s="30">
        <f t="shared" si="106"/>
        <v>7563.7</v>
      </c>
    </row>
    <row r="170" spans="1:9" s="1" customFormat="1">
      <c r="A170" s="38"/>
      <c r="B170" s="39"/>
      <c r="C170" s="17">
        <v>2120</v>
      </c>
      <c r="D170" s="18">
        <v>2758.1</v>
      </c>
      <c r="E170" s="18">
        <v>2756.9</v>
      </c>
      <c r="F170" s="18"/>
      <c r="G170" s="18"/>
      <c r="H170" s="20">
        <f t="shared" si="106"/>
        <v>2758.1</v>
      </c>
      <c r="I170" s="30">
        <f t="shared" si="106"/>
        <v>2756.9</v>
      </c>
    </row>
    <row r="171" spans="1:9" s="1" customFormat="1">
      <c r="A171" s="38"/>
      <c r="B171" s="39"/>
      <c r="C171" s="17">
        <v>2210</v>
      </c>
      <c r="D171" s="18"/>
      <c r="E171" s="18"/>
      <c r="F171" s="18">
        <f>1000</f>
        <v>1000</v>
      </c>
      <c r="G171" s="18">
        <f>826.7</f>
        <v>826.7</v>
      </c>
      <c r="H171" s="20">
        <f t="shared" si="106"/>
        <v>1000</v>
      </c>
      <c r="I171" s="30">
        <f t="shared" si="106"/>
        <v>826.7</v>
      </c>
    </row>
    <row r="172" spans="1:9" s="1" customFormat="1">
      <c r="A172" s="38"/>
      <c r="B172" s="39"/>
      <c r="C172" s="17">
        <v>2240</v>
      </c>
      <c r="D172" s="18"/>
      <c r="E172" s="18"/>
      <c r="F172" s="18">
        <f>13453.8</f>
        <v>13453.8</v>
      </c>
      <c r="G172" s="18">
        <f>13014.3</f>
        <v>13014.3</v>
      </c>
      <c r="H172" s="20">
        <f t="shared" si="106"/>
        <v>13453.8</v>
      </c>
      <c r="I172" s="30">
        <f t="shared" si="106"/>
        <v>13014.3</v>
      </c>
    </row>
    <row r="173" spans="1:9" s="1" customFormat="1">
      <c r="A173" s="38"/>
      <c r="B173" s="39"/>
      <c r="C173" s="17">
        <v>2250</v>
      </c>
      <c r="D173" s="18"/>
      <c r="E173" s="18"/>
      <c r="F173" s="18">
        <f>150</f>
        <v>150</v>
      </c>
      <c r="G173" s="18">
        <f>149.8</f>
        <v>149.80000000000001</v>
      </c>
      <c r="H173" s="20">
        <f t="shared" si="106"/>
        <v>150</v>
      </c>
      <c r="I173" s="30">
        <f t="shared" si="106"/>
        <v>149.80000000000001</v>
      </c>
    </row>
    <row r="174" spans="1:9" s="1" customFormat="1">
      <c r="A174" s="38"/>
      <c r="B174" s="39"/>
      <c r="C174" s="17">
        <v>2270</v>
      </c>
      <c r="D174" s="18">
        <v>22</v>
      </c>
      <c r="E174" s="18"/>
      <c r="F174" s="18">
        <f>400</f>
        <v>400</v>
      </c>
      <c r="G174" s="18">
        <f>290.5</f>
        <v>290.5</v>
      </c>
      <c r="H174" s="20">
        <f t="shared" si="106"/>
        <v>422</v>
      </c>
      <c r="I174" s="30">
        <f t="shared" si="106"/>
        <v>290.5</v>
      </c>
    </row>
    <row r="175" spans="1:9" s="1" customFormat="1">
      <c r="A175" s="38"/>
      <c r="B175" s="39"/>
      <c r="C175" s="17">
        <v>2281</v>
      </c>
      <c r="D175" s="18"/>
      <c r="E175" s="18"/>
      <c r="F175" s="18">
        <f>2000</f>
        <v>2000</v>
      </c>
      <c r="G175" s="18">
        <f>1510.5</f>
        <v>1510.5</v>
      </c>
      <c r="H175" s="20">
        <f t="shared" ref="H175" si="107">D175+F175</f>
        <v>2000</v>
      </c>
      <c r="I175" s="30">
        <f t="shared" ref="I175" si="108">E175+G175</f>
        <v>1510.5</v>
      </c>
    </row>
    <row r="176" spans="1:9" s="1" customFormat="1">
      <c r="A176" s="38"/>
      <c r="B176" s="39"/>
      <c r="C176" s="17">
        <v>2282</v>
      </c>
      <c r="D176" s="18"/>
      <c r="E176" s="18"/>
      <c r="F176" s="18">
        <f>26.2</f>
        <v>26.2</v>
      </c>
      <c r="G176" s="18">
        <f>10</f>
        <v>10</v>
      </c>
      <c r="H176" s="20">
        <f t="shared" ref="H176:I179" si="109">D176+F176</f>
        <v>26.2</v>
      </c>
      <c r="I176" s="30">
        <f t="shared" si="109"/>
        <v>10</v>
      </c>
    </row>
    <row r="177" spans="1:9" s="1" customFormat="1">
      <c r="A177" s="38"/>
      <c r="B177" s="39"/>
      <c r="C177" s="17">
        <v>2800</v>
      </c>
      <c r="D177" s="18"/>
      <c r="E177" s="18"/>
      <c r="F177" s="18">
        <f>7510.9</f>
        <v>7510.9</v>
      </c>
      <c r="G177" s="18">
        <f>5372.1</f>
        <v>5372.1</v>
      </c>
      <c r="H177" s="20">
        <f t="shared" si="109"/>
        <v>7510.9</v>
      </c>
      <c r="I177" s="30">
        <f t="shared" si="109"/>
        <v>5372.1</v>
      </c>
    </row>
    <row r="178" spans="1:9" s="1" customFormat="1">
      <c r="A178" s="38"/>
      <c r="B178" s="39"/>
      <c r="C178" s="17">
        <v>3110</v>
      </c>
      <c r="D178" s="18"/>
      <c r="E178" s="18"/>
      <c r="F178" s="18">
        <f>7654.7</f>
        <v>7654.7</v>
      </c>
      <c r="G178" s="18">
        <f>7654.7</f>
        <v>7654.7</v>
      </c>
      <c r="H178" s="20">
        <f t="shared" si="109"/>
        <v>7654.7</v>
      </c>
      <c r="I178" s="30">
        <f t="shared" si="109"/>
        <v>7654.7</v>
      </c>
    </row>
    <row r="179" spans="1:9" s="1" customFormat="1">
      <c r="A179" s="38"/>
      <c r="B179" s="39"/>
      <c r="C179" s="19" t="s">
        <v>10</v>
      </c>
      <c r="D179" s="20">
        <f>SUM(D169:D178)</f>
        <v>10343.799999999999</v>
      </c>
      <c r="E179" s="20">
        <f>SUM(E169:E178)</f>
        <v>10320.6</v>
      </c>
      <c r="F179" s="20">
        <f t="shared" ref="F179:G179" si="110">SUM(F169:F178)</f>
        <v>32195.600000000002</v>
      </c>
      <c r="G179" s="20">
        <f t="shared" si="110"/>
        <v>28828.600000000002</v>
      </c>
      <c r="H179" s="20">
        <f t="shared" si="109"/>
        <v>42539.4</v>
      </c>
      <c r="I179" s="30">
        <f t="shared" si="109"/>
        <v>39149.200000000004</v>
      </c>
    </row>
    <row r="180" spans="1:9" s="1" customFormat="1" ht="15" customHeight="1">
      <c r="A180" s="38">
        <v>2404020</v>
      </c>
      <c r="B180" s="39" t="s">
        <v>23</v>
      </c>
      <c r="C180" s="48" t="s">
        <v>24</v>
      </c>
      <c r="D180" s="49"/>
      <c r="E180" s="49"/>
      <c r="F180" s="49"/>
      <c r="G180" s="49"/>
      <c r="H180" s="49"/>
      <c r="I180" s="50"/>
    </row>
    <row r="181" spans="1:9" s="1" customFormat="1">
      <c r="A181" s="38"/>
      <c r="B181" s="39"/>
      <c r="C181" s="17">
        <v>2281</v>
      </c>
      <c r="D181" s="18">
        <v>100000</v>
      </c>
      <c r="E181" s="18">
        <v>89883.9</v>
      </c>
      <c r="F181" s="18"/>
      <c r="G181" s="18"/>
      <c r="H181" s="20">
        <f>D181+F181</f>
        <v>100000</v>
      </c>
      <c r="I181" s="30">
        <f>E181+G181</f>
        <v>89883.9</v>
      </c>
    </row>
    <row r="182" spans="1:9" s="1" customFormat="1">
      <c r="A182" s="38"/>
      <c r="B182" s="39"/>
      <c r="C182" s="19" t="s">
        <v>10</v>
      </c>
      <c r="D182" s="20">
        <f>D181</f>
        <v>100000</v>
      </c>
      <c r="E182" s="20">
        <f t="shared" ref="E182:G182" si="111">E181</f>
        <v>89883.9</v>
      </c>
      <c r="F182" s="20">
        <f t="shared" si="111"/>
        <v>0</v>
      </c>
      <c r="G182" s="20">
        <f t="shared" si="111"/>
        <v>0</v>
      </c>
      <c r="H182" s="20">
        <f>D182+F182</f>
        <v>100000</v>
      </c>
      <c r="I182" s="30">
        <f>E182+G182</f>
        <v>89883.9</v>
      </c>
    </row>
    <row r="183" spans="1:9" s="1" customFormat="1" ht="30" customHeight="1">
      <c r="A183" s="42">
        <v>2405000</v>
      </c>
      <c r="B183" s="43"/>
      <c r="C183" s="51" t="s">
        <v>25</v>
      </c>
      <c r="D183" s="52"/>
      <c r="E183" s="52"/>
      <c r="F183" s="52"/>
      <c r="G183" s="52"/>
      <c r="H183" s="52"/>
      <c r="I183" s="53"/>
    </row>
    <row r="184" spans="1:9" s="1" customFormat="1" ht="15.75" customHeight="1">
      <c r="A184" s="44"/>
      <c r="B184" s="45"/>
      <c r="C184" s="17">
        <v>2110</v>
      </c>
      <c r="D184" s="20">
        <f>D197</f>
        <v>85429.7</v>
      </c>
      <c r="E184" s="20">
        <f t="shared" ref="E184:G184" si="112">E197</f>
        <v>85357.1</v>
      </c>
      <c r="F184" s="20">
        <f t="shared" si="112"/>
        <v>0</v>
      </c>
      <c r="G184" s="20">
        <f t="shared" si="112"/>
        <v>0</v>
      </c>
      <c r="H184" s="20">
        <f>D184+F184</f>
        <v>85429.7</v>
      </c>
      <c r="I184" s="30">
        <f>E184+G184</f>
        <v>85357.1</v>
      </c>
    </row>
    <row r="185" spans="1:9" s="1" customFormat="1" ht="15.75" customHeight="1">
      <c r="A185" s="44"/>
      <c r="B185" s="45"/>
      <c r="C185" s="17">
        <v>2120</v>
      </c>
      <c r="D185" s="20">
        <f>D198</f>
        <v>30370.3</v>
      </c>
      <c r="E185" s="20">
        <f t="shared" ref="E185:G185" si="113">E198</f>
        <v>30246.2</v>
      </c>
      <c r="F185" s="20">
        <f t="shared" si="113"/>
        <v>0</v>
      </c>
      <c r="G185" s="20">
        <f t="shared" si="113"/>
        <v>0</v>
      </c>
      <c r="H185" s="20">
        <f t="shared" ref="H185:H195" si="114">D185+F185</f>
        <v>30370.3</v>
      </c>
      <c r="I185" s="30">
        <f t="shared" ref="I185:I195" si="115">E185+G185</f>
        <v>30246.2</v>
      </c>
    </row>
    <row r="186" spans="1:9" s="1" customFormat="1" ht="15.75" customHeight="1">
      <c r="A186" s="44"/>
      <c r="B186" s="45"/>
      <c r="C186" s="17">
        <v>2210</v>
      </c>
      <c r="D186" s="20">
        <f>D199+D208</f>
        <v>898</v>
      </c>
      <c r="E186" s="20">
        <f t="shared" ref="E186:G186" si="116">E199+E208</f>
        <v>897.8</v>
      </c>
      <c r="F186" s="20">
        <f t="shared" si="116"/>
        <v>144.30000000000001</v>
      </c>
      <c r="G186" s="20">
        <f t="shared" si="116"/>
        <v>144.19999999999999</v>
      </c>
      <c r="H186" s="20">
        <f t="shared" si="114"/>
        <v>1042.3</v>
      </c>
      <c r="I186" s="30">
        <f t="shared" si="115"/>
        <v>1042</v>
      </c>
    </row>
    <row r="187" spans="1:9" s="1" customFormat="1" ht="15.75" customHeight="1">
      <c r="A187" s="44"/>
      <c r="B187" s="45"/>
      <c r="C187" s="17">
        <v>2240</v>
      </c>
      <c r="D187" s="20">
        <f>D200+D209</f>
        <v>3418.4</v>
      </c>
      <c r="E187" s="20">
        <f t="shared" ref="E187:G187" si="117">E200+E209</f>
        <v>3377.2</v>
      </c>
      <c r="F187" s="20">
        <f t="shared" si="117"/>
        <v>180.3</v>
      </c>
      <c r="G187" s="20">
        <f t="shared" si="117"/>
        <v>166</v>
      </c>
      <c r="H187" s="20">
        <f t="shared" si="114"/>
        <v>3598.7000000000003</v>
      </c>
      <c r="I187" s="30">
        <f t="shared" si="115"/>
        <v>3543.2</v>
      </c>
    </row>
    <row r="188" spans="1:9" s="1" customFormat="1" ht="15.75" customHeight="1">
      <c r="A188" s="44"/>
      <c r="B188" s="45"/>
      <c r="C188" s="17">
        <v>2250</v>
      </c>
      <c r="D188" s="20">
        <f>D201</f>
        <v>586.29999999999995</v>
      </c>
      <c r="E188" s="20">
        <f t="shared" ref="E188:G188" si="118">E201</f>
        <v>550</v>
      </c>
      <c r="F188" s="20">
        <f t="shared" si="118"/>
        <v>0</v>
      </c>
      <c r="G188" s="20">
        <f t="shared" si="118"/>
        <v>0</v>
      </c>
      <c r="H188" s="20">
        <f t="shared" si="114"/>
        <v>586.29999999999995</v>
      </c>
      <c r="I188" s="30">
        <f t="shared" si="115"/>
        <v>550</v>
      </c>
    </row>
    <row r="189" spans="1:9" s="1" customFormat="1" ht="15.75" customHeight="1">
      <c r="A189" s="44"/>
      <c r="B189" s="45"/>
      <c r="C189" s="17">
        <v>2270</v>
      </c>
      <c r="D189" s="20">
        <f>D202</f>
        <v>5100.2</v>
      </c>
      <c r="E189" s="20">
        <f t="shared" ref="E189:G189" si="119">E202</f>
        <v>4700.1000000000004</v>
      </c>
      <c r="F189" s="20">
        <f t="shared" si="119"/>
        <v>37.5</v>
      </c>
      <c r="G189" s="20">
        <f t="shared" si="119"/>
        <v>33</v>
      </c>
      <c r="H189" s="20">
        <f t="shared" si="114"/>
        <v>5137.7</v>
      </c>
      <c r="I189" s="30">
        <f t="shared" si="115"/>
        <v>4733.1000000000004</v>
      </c>
    </row>
    <row r="190" spans="1:9" s="1" customFormat="1" ht="15.75" customHeight="1">
      <c r="A190" s="44"/>
      <c r="B190" s="45"/>
      <c r="C190" s="17">
        <v>2281</v>
      </c>
      <c r="D190" s="20">
        <f>D210</f>
        <v>0</v>
      </c>
      <c r="E190" s="20">
        <f t="shared" ref="E190:G190" si="120">E210</f>
        <v>0</v>
      </c>
      <c r="F190" s="20">
        <f t="shared" si="120"/>
        <v>0</v>
      </c>
      <c r="G190" s="20">
        <f t="shared" si="120"/>
        <v>0</v>
      </c>
      <c r="H190" s="20">
        <f t="shared" si="114"/>
        <v>0</v>
      </c>
      <c r="I190" s="30">
        <f t="shared" si="115"/>
        <v>0</v>
      </c>
    </row>
    <row r="191" spans="1:9" s="1" customFormat="1" ht="15.75" customHeight="1">
      <c r="A191" s="44"/>
      <c r="B191" s="45"/>
      <c r="C191" s="17">
        <v>2282</v>
      </c>
      <c r="D191" s="20">
        <f>D203</f>
        <v>4</v>
      </c>
      <c r="E191" s="20">
        <f t="shared" ref="E191:G191" si="121">E203</f>
        <v>1.9</v>
      </c>
      <c r="F191" s="20">
        <f t="shared" si="121"/>
        <v>24.5</v>
      </c>
      <c r="G191" s="20">
        <f t="shared" si="121"/>
        <v>24.5</v>
      </c>
      <c r="H191" s="20">
        <f t="shared" si="114"/>
        <v>28.5</v>
      </c>
      <c r="I191" s="30">
        <f t="shared" si="115"/>
        <v>26.4</v>
      </c>
    </row>
    <row r="192" spans="1:9" s="1" customFormat="1" ht="15.75" customHeight="1">
      <c r="A192" s="44"/>
      <c r="B192" s="45"/>
      <c r="C192" s="17">
        <v>2800</v>
      </c>
      <c r="D192" s="20">
        <f>D204</f>
        <v>210.6</v>
      </c>
      <c r="E192" s="20">
        <f t="shared" ref="E192:G192" si="122">E204</f>
        <v>198.1</v>
      </c>
      <c r="F192" s="20">
        <f t="shared" si="122"/>
        <v>2.2000000000000002</v>
      </c>
      <c r="G192" s="20">
        <f t="shared" si="122"/>
        <v>2.1</v>
      </c>
      <c r="H192" s="20">
        <f t="shared" si="114"/>
        <v>212.79999999999998</v>
      </c>
      <c r="I192" s="30">
        <f t="shared" si="115"/>
        <v>200.2</v>
      </c>
    </row>
    <row r="193" spans="1:9" s="1" customFormat="1" ht="15.75" customHeight="1">
      <c r="A193" s="44"/>
      <c r="B193" s="45"/>
      <c r="C193" s="17">
        <v>3110</v>
      </c>
      <c r="D193" s="20">
        <f>D211+D205</f>
        <v>0</v>
      </c>
      <c r="E193" s="20">
        <f t="shared" ref="E193:G193" si="123">E211+E205</f>
        <v>0</v>
      </c>
      <c r="F193" s="20">
        <f t="shared" si="123"/>
        <v>58.7</v>
      </c>
      <c r="G193" s="20">
        <f t="shared" si="123"/>
        <v>58.7</v>
      </c>
      <c r="H193" s="20">
        <f t="shared" si="114"/>
        <v>58.7</v>
      </c>
      <c r="I193" s="30">
        <f t="shared" si="115"/>
        <v>58.7</v>
      </c>
    </row>
    <row r="194" spans="1:9" s="1" customFormat="1" ht="15.75" customHeight="1">
      <c r="A194" s="44"/>
      <c r="B194" s="45"/>
      <c r="C194" s="17">
        <v>3160</v>
      </c>
      <c r="D194" s="20">
        <f>D212</f>
        <v>0</v>
      </c>
      <c r="E194" s="20">
        <f t="shared" ref="E194:G194" si="124">E212</f>
        <v>0</v>
      </c>
      <c r="F194" s="20">
        <f t="shared" si="124"/>
        <v>0</v>
      </c>
      <c r="G194" s="20">
        <f t="shared" si="124"/>
        <v>0</v>
      </c>
      <c r="H194" s="20">
        <f t="shared" ref="H194" si="125">D194+F194</f>
        <v>0</v>
      </c>
      <c r="I194" s="30">
        <f t="shared" ref="I194" si="126">E194+G194</f>
        <v>0</v>
      </c>
    </row>
    <row r="195" spans="1:9" s="1" customFormat="1" ht="15.75" customHeight="1">
      <c r="A195" s="46"/>
      <c r="B195" s="47"/>
      <c r="C195" s="19" t="s">
        <v>10</v>
      </c>
      <c r="D195" s="20">
        <f>SUM(D184:D194)</f>
        <v>126017.5</v>
      </c>
      <c r="E195" s="20">
        <f t="shared" ref="E195:G195" si="127">SUM(E184:E194)</f>
        <v>125328.40000000001</v>
      </c>
      <c r="F195" s="20">
        <f t="shared" si="127"/>
        <v>447.5</v>
      </c>
      <c r="G195" s="20">
        <f t="shared" si="127"/>
        <v>428.5</v>
      </c>
      <c r="H195" s="20">
        <f t="shared" si="114"/>
        <v>126465</v>
      </c>
      <c r="I195" s="30">
        <f t="shared" si="115"/>
        <v>125756.90000000001</v>
      </c>
    </row>
    <row r="196" spans="1:9" s="1" customFormat="1" ht="15" customHeight="1">
      <c r="A196" s="32">
        <v>2405010</v>
      </c>
      <c r="B196" s="35" t="s">
        <v>12</v>
      </c>
      <c r="C196" s="48" t="s">
        <v>26</v>
      </c>
      <c r="D196" s="49"/>
      <c r="E196" s="49"/>
      <c r="F196" s="49"/>
      <c r="G196" s="49"/>
      <c r="H196" s="49"/>
      <c r="I196" s="50"/>
    </row>
    <row r="197" spans="1:9" s="1" customFormat="1" ht="15" customHeight="1">
      <c r="A197" s="33"/>
      <c r="B197" s="36"/>
      <c r="C197" s="17">
        <v>2110</v>
      </c>
      <c r="D197" s="18">
        <v>85429.7</v>
      </c>
      <c r="E197" s="18">
        <v>85357.1</v>
      </c>
      <c r="F197" s="18"/>
      <c r="G197" s="18"/>
      <c r="H197" s="20">
        <f t="shared" ref="H197:I206" si="128">D197+F197</f>
        <v>85429.7</v>
      </c>
      <c r="I197" s="30">
        <f t="shared" si="128"/>
        <v>85357.1</v>
      </c>
    </row>
    <row r="198" spans="1:9" s="1" customFormat="1" ht="15" customHeight="1">
      <c r="A198" s="33"/>
      <c r="B198" s="36"/>
      <c r="C198" s="17">
        <v>2120</v>
      </c>
      <c r="D198" s="18">
        <v>30370.3</v>
      </c>
      <c r="E198" s="18">
        <v>30246.2</v>
      </c>
      <c r="F198" s="18"/>
      <c r="G198" s="18"/>
      <c r="H198" s="20">
        <f t="shared" si="128"/>
        <v>30370.3</v>
      </c>
      <c r="I198" s="30">
        <f t="shared" si="128"/>
        <v>30246.2</v>
      </c>
    </row>
    <row r="199" spans="1:9" s="1" customFormat="1" ht="15" customHeight="1">
      <c r="A199" s="33"/>
      <c r="B199" s="36"/>
      <c r="C199" s="17">
        <v>2210</v>
      </c>
      <c r="D199" s="18">
        <v>898</v>
      </c>
      <c r="E199" s="18">
        <v>897.8</v>
      </c>
      <c r="F199" s="18">
        <f>39.5+5.8+99</f>
        <v>144.30000000000001</v>
      </c>
      <c r="G199" s="18">
        <f>39.5+5.8+98.9</f>
        <v>144.19999999999999</v>
      </c>
      <c r="H199" s="20">
        <f t="shared" si="128"/>
        <v>1042.3</v>
      </c>
      <c r="I199" s="30">
        <f t="shared" si="128"/>
        <v>1042</v>
      </c>
    </row>
    <row r="200" spans="1:9" s="1" customFormat="1" ht="15" customHeight="1">
      <c r="A200" s="33"/>
      <c r="B200" s="36"/>
      <c r="C200" s="17">
        <v>2240</v>
      </c>
      <c r="D200" s="18">
        <v>3418.4</v>
      </c>
      <c r="E200" s="18">
        <v>3377.2</v>
      </c>
      <c r="F200" s="18">
        <f>5+68.6+106.7</f>
        <v>180.3</v>
      </c>
      <c r="G200" s="18">
        <f>3+68.3+94.7</f>
        <v>166</v>
      </c>
      <c r="H200" s="20">
        <f t="shared" si="128"/>
        <v>3598.7000000000003</v>
      </c>
      <c r="I200" s="30">
        <f t="shared" si="128"/>
        <v>3543.2</v>
      </c>
    </row>
    <row r="201" spans="1:9" s="1" customFormat="1" ht="15" customHeight="1">
      <c r="A201" s="33"/>
      <c r="B201" s="36"/>
      <c r="C201" s="17">
        <v>2250</v>
      </c>
      <c r="D201" s="18">
        <v>586.29999999999995</v>
      </c>
      <c r="E201" s="18">
        <v>550</v>
      </c>
      <c r="F201" s="18"/>
      <c r="G201" s="18"/>
      <c r="H201" s="20">
        <f t="shared" si="128"/>
        <v>586.29999999999995</v>
      </c>
      <c r="I201" s="30">
        <f t="shared" si="128"/>
        <v>550</v>
      </c>
    </row>
    <row r="202" spans="1:9" s="1" customFormat="1" ht="15" customHeight="1">
      <c r="A202" s="33"/>
      <c r="B202" s="36"/>
      <c r="C202" s="17">
        <v>2270</v>
      </c>
      <c r="D202" s="18">
        <v>5100.2</v>
      </c>
      <c r="E202" s="18">
        <v>4700.1000000000004</v>
      </c>
      <c r="F202" s="18">
        <f>37.5</f>
        <v>37.5</v>
      </c>
      <c r="G202" s="18">
        <f>33</f>
        <v>33</v>
      </c>
      <c r="H202" s="20">
        <f t="shared" si="128"/>
        <v>5137.7</v>
      </c>
      <c r="I202" s="30">
        <f t="shared" si="128"/>
        <v>4733.1000000000004</v>
      </c>
    </row>
    <row r="203" spans="1:9" s="1" customFormat="1" ht="15" customHeight="1">
      <c r="A203" s="33"/>
      <c r="B203" s="36"/>
      <c r="C203" s="17">
        <v>2282</v>
      </c>
      <c r="D203" s="18">
        <v>4</v>
      </c>
      <c r="E203" s="18">
        <v>1.9</v>
      </c>
      <c r="F203" s="18">
        <f>24.5</f>
        <v>24.5</v>
      </c>
      <c r="G203" s="18">
        <f>24.5</f>
        <v>24.5</v>
      </c>
      <c r="H203" s="20">
        <f t="shared" si="128"/>
        <v>28.5</v>
      </c>
      <c r="I203" s="30">
        <f t="shared" si="128"/>
        <v>26.4</v>
      </c>
    </row>
    <row r="204" spans="1:9" s="1" customFormat="1" ht="15" customHeight="1">
      <c r="A204" s="33"/>
      <c r="B204" s="36"/>
      <c r="C204" s="17">
        <v>2800</v>
      </c>
      <c r="D204" s="18">
        <v>210.6</v>
      </c>
      <c r="E204" s="18">
        <v>198.1</v>
      </c>
      <c r="F204" s="18">
        <f>0.1+2.1</f>
        <v>2.2000000000000002</v>
      </c>
      <c r="G204" s="18">
        <f>2.1</f>
        <v>2.1</v>
      </c>
      <c r="H204" s="20">
        <f t="shared" si="128"/>
        <v>212.79999999999998</v>
      </c>
      <c r="I204" s="30">
        <f t="shared" si="128"/>
        <v>200.2</v>
      </c>
    </row>
    <row r="205" spans="1:9" s="1" customFormat="1" ht="15" customHeight="1">
      <c r="A205" s="33"/>
      <c r="B205" s="36"/>
      <c r="C205" s="17">
        <v>3110</v>
      </c>
      <c r="D205" s="18"/>
      <c r="E205" s="18"/>
      <c r="F205" s="18">
        <f>32.7+26</f>
        <v>58.7</v>
      </c>
      <c r="G205" s="18">
        <f>32.7+26</f>
        <v>58.7</v>
      </c>
      <c r="H205" s="20">
        <f>D205+F205</f>
        <v>58.7</v>
      </c>
      <c r="I205" s="30">
        <f t="shared" ref="I205" si="129">E205+G205</f>
        <v>58.7</v>
      </c>
    </row>
    <row r="206" spans="1:9" s="1" customFormat="1" ht="15" customHeight="1">
      <c r="A206" s="34"/>
      <c r="B206" s="37"/>
      <c r="C206" s="19" t="s">
        <v>10</v>
      </c>
      <c r="D206" s="20">
        <f>SUM(D197:D205)</f>
        <v>126017.5</v>
      </c>
      <c r="E206" s="20">
        <f>SUM(E197:E205)</f>
        <v>125328.40000000001</v>
      </c>
      <c r="F206" s="20">
        <f>SUM(F197:F205)</f>
        <v>447.5</v>
      </c>
      <c r="G206" s="20">
        <f>SUM(G197:G205)</f>
        <v>428.5</v>
      </c>
      <c r="H206" s="20">
        <f>D206+F206</f>
        <v>126465</v>
      </c>
      <c r="I206" s="30">
        <f t="shared" si="128"/>
        <v>125756.90000000001</v>
      </c>
    </row>
    <row r="207" spans="1:9" s="1" customFormat="1" ht="30" hidden="1" customHeight="1">
      <c r="A207" s="32">
        <v>2405020</v>
      </c>
      <c r="B207" s="35" t="s">
        <v>12</v>
      </c>
      <c r="C207" s="48" t="s">
        <v>52</v>
      </c>
      <c r="D207" s="49"/>
      <c r="E207" s="49"/>
      <c r="F207" s="49"/>
      <c r="G207" s="49"/>
      <c r="H207" s="49"/>
      <c r="I207" s="50"/>
    </row>
    <row r="208" spans="1:9" s="1" customFormat="1" ht="15" hidden="1" customHeight="1">
      <c r="A208" s="33"/>
      <c r="B208" s="36"/>
      <c r="C208" s="17">
        <v>2210</v>
      </c>
      <c r="D208" s="18"/>
      <c r="E208" s="18"/>
      <c r="F208" s="18"/>
      <c r="G208" s="18"/>
      <c r="H208" s="20">
        <f t="shared" ref="H208:H213" si="130">D208+F208</f>
        <v>0</v>
      </c>
      <c r="I208" s="30">
        <f t="shared" ref="I208:I213" si="131">E208+G208</f>
        <v>0</v>
      </c>
    </row>
    <row r="209" spans="1:9" s="1" customFormat="1" ht="15" hidden="1" customHeight="1">
      <c r="A209" s="33"/>
      <c r="B209" s="36"/>
      <c r="C209" s="17">
        <v>2240</v>
      </c>
      <c r="D209" s="18"/>
      <c r="E209" s="18"/>
      <c r="F209" s="18"/>
      <c r="G209" s="18"/>
      <c r="H209" s="20">
        <f t="shared" si="130"/>
        <v>0</v>
      </c>
      <c r="I209" s="30">
        <f t="shared" si="131"/>
        <v>0</v>
      </c>
    </row>
    <row r="210" spans="1:9" s="1" customFormat="1" ht="15" hidden="1" customHeight="1">
      <c r="A210" s="33"/>
      <c r="B210" s="36"/>
      <c r="C210" s="17">
        <v>2281</v>
      </c>
      <c r="D210" s="18"/>
      <c r="E210" s="18"/>
      <c r="F210" s="18"/>
      <c r="G210" s="18"/>
      <c r="H210" s="20">
        <f t="shared" si="130"/>
        <v>0</v>
      </c>
      <c r="I210" s="30">
        <f t="shared" si="131"/>
        <v>0</v>
      </c>
    </row>
    <row r="211" spans="1:9" s="1" customFormat="1" ht="15" hidden="1" customHeight="1">
      <c r="A211" s="33"/>
      <c r="B211" s="36"/>
      <c r="C211" s="17">
        <v>3110</v>
      </c>
      <c r="D211" s="18"/>
      <c r="E211" s="18"/>
      <c r="F211" s="18"/>
      <c r="G211" s="18"/>
      <c r="H211" s="20">
        <f t="shared" si="130"/>
        <v>0</v>
      </c>
      <c r="I211" s="30">
        <f t="shared" si="131"/>
        <v>0</v>
      </c>
    </row>
    <row r="212" spans="1:9" s="1" customFormat="1" ht="15" hidden="1" customHeight="1">
      <c r="A212" s="33"/>
      <c r="B212" s="36"/>
      <c r="C212" s="17">
        <v>3160</v>
      </c>
      <c r="D212" s="18"/>
      <c r="E212" s="18"/>
      <c r="F212" s="18"/>
      <c r="G212" s="18"/>
      <c r="H212" s="20">
        <f t="shared" si="130"/>
        <v>0</v>
      </c>
      <c r="I212" s="30">
        <f t="shared" si="131"/>
        <v>0</v>
      </c>
    </row>
    <row r="213" spans="1:9" s="1" customFormat="1" ht="15" hidden="1" customHeight="1">
      <c r="A213" s="34"/>
      <c r="B213" s="37"/>
      <c r="C213" s="19" t="s">
        <v>10</v>
      </c>
      <c r="D213" s="20">
        <f>SUM(D208:D212)</f>
        <v>0</v>
      </c>
      <c r="E213" s="20">
        <f t="shared" ref="E213:G213" si="132">SUM(E208:E212)</f>
        <v>0</v>
      </c>
      <c r="F213" s="20">
        <f t="shared" si="132"/>
        <v>0</v>
      </c>
      <c r="G213" s="20">
        <f t="shared" si="132"/>
        <v>0</v>
      </c>
      <c r="H213" s="20">
        <f t="shared" si="130"/>
        <v>0</v>
      </c>
      <c r="I213" s="30">
        <f t="shared" si="131"/>
        <v>0</v>
      </c>
    </row>
    <row r="214" spans="1:9" s="1" customFormat="1" ht="30.75" customHeight="1">
      <c r="A214" s="54">
        <v>2406000</v>
      </c>
      <c r="B214" s="55"/>
      <c r="C214" s="79" t="s">
        <v>27</v>
      </c>
      <c r="D214" s="80"/>
      <c r="E214" s="80"/>
      <c r="F214" s="80"/>
      <c r="G214" s="80"/>
      <c r="H214" s="80"/>
      <c r="I214" s="81"/>
    </row>
    <row r="215" spans="1:9" s="1" customFormat="1">
      <c r="A215" s="38">
        <v>2406010</v>
      </c>
      <c r="B215" s="39" t="s">
        <v>12</v>
      </c>
      <c r="C215" s="48" t="s">
        <v>28</v>
      </c>
      <c r="D215" s="49"/>
      <c r="E215" s="49"/>
      <c r="F215" s="49"/>
      <c r="G215" s="49"/>
      <c r="H215" s="49"/>
      <c r="I215" s="50"/>
    </row>
    <row r="216" spans="1:9" s="1" customFormat="1">
      <c r="A216" s="38"/>
      <c r="B216" s="39"/>
      <c r="C216" s="17">
        <v>2110</v>
      </c>
      <c r="D216" s="18">
        <v>450.5</v>
      </c>
      <c r="E216" s="18">
        <v>450.5</v>
      </c>
      <c r="F216" s="18"/>
      <c r="G216" s="18"/>
      <c r="H216" s="20">
        <f t="shared" ref="H216:I222" si="133">D216+F216</f>
        <v>450.5</v>
      </c>
      <c r="I216" s="30">
        <f t="shared" si="133"/>
        <v>450.5</v>
      </c>
    </row>
    <row r="217" spans="1:9" s="1" customFormat="1">
      <c r="A217" s="38"/>
      <c r="B217" s="39"/>
      <c r="C217" s="17">
        <v>2120</v>
      </c>
      <c r="D217" s="18">
        <v>163.6</v>
      </c>
      <c r="E217" s="18">
        <v>160.6</v>
      </c>
      <c r="F217" s="18"/>
      <c r="G217" s="18"/>
      <c r="H217" s="20">
        <f t="shared" si="133"/>
        <v>163.6</v>
      </c>
      <c r="I217" s="30">
        <f t="shared" si="133"/>
        <v>160.6</v>
      </c>
    </row>
    <row r="218" spans="1:9" s="1" customFormat="1">
      <c r="A218" s="38"/>
      <c r="B218" s="39"/>
      <c r="C218" s="17">
        <v>2210</v>
      </c>
      <c r="D218" s="18">
        <v>8.1999999999999993</v>
      </c>
      <c r="E218" s="18">
        <v>8.1999999999999993</v>
      </c>
      <c r="F218" s="18"/>
      <c r="G218" s="18"/>
      <c r="H218" s="20">
        <f t="shared" si="133"/>
        <v>8.1999999999999993</v>
      </c>
      <c r="I218" s="30">
        <f t="shared" si="133"/>
        <v>8.1999999999999993</v>
      </c>
    </row>
    <row r="219" spans="1:9" s="1" customFormat="1">
      <c r="A219" s="38"/>
      <c r="B219" s="39"/>
      <c r="C219" s="17">
        <v>2240</v>
      </c>
      <c r="D219" s="18">
        <v>10.7</v>
      </c>
      <c r="E219" s="18">
        <v>10.7</v>
      </c>
      <c r="F219" s="18"/>
      <c r="G219" s="18"/>
      <c r="H219" s="20">
        <f t="shared" si="133"/>
        <v>10.7</v>
      </c>
      <c r="I219" s="30">
        <f t="shared" si="133"/>
        <v>10.7</v>
      </c>
    </row>
    <row r="220" spans="1:9" s="1" customFormat="1">
      <c r="A220" s="38"/>
      <c r="B220" s="39"/>
      <c r="C220" s="17">
        <v>2270</v>
      </c>
      <c r="D220" s="18">
        <v>19.7</v>
      </c>
      <c r="E220" s="18">
        <v>19.7</v>
      </c>
      <c r="F220" s="18"/>
      <c r="G220" s="18"/>
      <c r="H220" s="20">
        <f t="shared" si="133"/>
        <v>19.7</v>
      </c>
      <c r="I220" s="30">
        <f t="shared" si="133"/>
        <v>19.7</v>
      </c>
    </row>
    <row r="221" spans="1:9" s="1" customFormat="1">
      <c r="A221" s="38"/>
      <c r="B221" s="39"/>
      <c r="C221" s="17">
        <v>2800</v>
      </c>
      <c r="D221" s="18">
        <v>0.1</v>
      </c>
      <c r="E221" s="18"/>
      <c r="F221" s="18"/>
      <c r="G221" s="18"/>
      <c r="H221" s="20">
        <f t="shared" si="133"/>
        <v>0.1</v>
      </c>
      <c r="I221" s="30">
        <f t="shared" si="133"/>
        <v>0</v>
      </c>
    </row>
    <row r="222" spans="1:9" s="1" customFormat="1">
      <c r="A222" s="38"/>
      <c r="B222" s="39"/>
      <c r="C222" s="19" t="s">
        <v>10</v>
      </c>
      <c r="D222" s="20">
        <f>SUM(D216:D221)</f>
        <v>652.80000000000018</v>
      </c>
      <c r="E222" s="20">
        <f t="shared" ref="E222:G222" si="134">SUM(E216:E221)</f>
        <v>649.70000000000016</v>
      </c>
      <c r="F222" s="20">
        <f t="shared" si="134"/>
        <v>0</v>
      </c>
      <c r="G222" s="20">
        <f t="shared" si="134"/>
        <v>0</v>
      </c>
      <c r="H222" s="20">
        <f t="shared" si="133"/>
        <v>652.80000000000018</v>
      </c>
      <c r="I222" s="30">
        <f t="shared" si="133"/>
        <v>649.70000000000016</v>
      </c>
    </row>
    <row r="223" spans="1:9" s="1" customFormat="1" ht="30" customHeight="1">
      <c r="A223" s="42">
        <v>2407000</v>
      </c>
      <c r="B223" s="43"/>
      <c r="C223" s="51" t="s">
        <v>29</v>
      </c>
      <c r="D223" s="52"/>
      <c r="E223" s="52"/>
      <c r="F223" s="52"/>
      <c r="G223" s="52"/>
      <c r="H223" s="52"/>
      <c r="I223" s="53"/>
    </row>
    <row r="224" spans="1:9" s="1" customFormat="1" ht="15.75" customHeight="1">
      <c r="A224" s="44"/>
      <c r="B224" s="45"/>
      <c r="C224" s="17">
        <v>2110</v>
      </c>
      <c r="D224" s="20">
        <f>D245+D257+D268</f>
        <v>577340</v>
      </c>
      <c r="E224" s="20">
        <f t="shared" ref="E224:G224" si="135">E245+E257+E268</f>
        <v>577297.70000000007</v>
      </c>
      <c r="F224" s="20">
        <f t="shared" si="135"/>
        <v>84440.3</v>
      </c>
      <c r="G224" s="20">
        <f t="shared" si="135"/>
        <v>80065.3</v>
      </c>
      <c r="H224" s="20">
        <f>D224+F224</f>
        <v>661780.30000000005</v>
      </c>
      <c r="I224" s="30">
        <f>E224+G224</f>
        <v>657363.00000000012</v>
      </c>
    </row>
    <row r="225" spans="1:9" s="1" customFormat="1" ht="15.75" customHeight="1">
      <c r="A225" s="44"/>
      <c r="B225" s="45"/>
      <c r="C225" s="17">
        <v>2120</v>
      </c>
      <c r="D225" s="20">
        <f>D246+D258+D269</f>
        <v>205392.9</v>
      </c>
      <c r="E225" s="20">
        <f t="shared" ref="E225:G225" si="136">E246+E258+E269</f>
        <v>204605.5</v>
      </c>
      <c r="F225" s="20">
        <f t="shared" si="136"/>
        <v>30533.5</v>
      </c>
      <c r="G225" s="20">
        <f t="shared" si="136"/>
        <v>28577.800000000003</v>
      </c>
      <c r="H225" s="20">
        <f t="shared" ref="H225:I243" si="137">D225+F225</f>
        <v>235926.39999999999</v>
      </c>
      <c r="I225" s="30">
        <f t="shared" si="137"/>
        <v>233183.3</v>
      </c>
    </row>
    <row r="226" spans="1:9" s="1" customFormat="1" ht="15.75" customHeight="1">
      <c r="A226" s="44"/>
      <c r="B226" s="45"/>
      <c r="C226" s="17">
        <v>2210</v>
      </c>
      <c r="D226" s="20">
        <f>D247+D259+D270+D290</f>
        <v>6202.5999999999995</v>
      </c>
      <c r="E226" s="20">
        <f t="shared" ref="E226:G226" si="138">E247+E259+E270+E290</f>
        <v>6200.5999999999995</v>
      </c>
      <c r="F226" s="20">
        <f t="shared" si="138"/>
        <v>136835.4</v>
      </c>
      <c r="G226" s="20">
        <f t="shared" si="138"/>
        <v>132299.4</v>
      </c>
      <c r="H226" s="20">
        <f t="shared" si="137"/>
        <v>143038</v>
      </c>
      <c r="I226" s="30">
        <f t="shared" si="137"/>
        <v>138500</v>
      </c>
    </row>
    <row r="227" spans="1:9" s="1" customFormat="1" ht="15.75" customHeight="1">
      <c r="A227" s="44"/>
      <c r="B227" s="45"/>
      <c r="C227" s="17">
        <v>2220</v>
      </c>
      <c r="D227" s="20">
        <f>D271</f>
        <v>3</v>
      </c>
      <c r="E227" s="20">
        <f t="shared" ref="E227:G227" si="139">E271</f>
        <v>3</v>
      </c>
      <c r="F227" s="20">
        <f t="shared" si="139"/>
        <v>73.3</v>
      </c>
      <c r="G227" s="20">
        <f t="shared" si="139"/>
        <v>73.2</v>
      </c>
      <c r="H227" s="20">
        <f t="shared" si="137"/>
        <v>76.3</v>
      </c>
      <c r="I227" s="30">
        <f t="shared" si="137"/>
        <v>76.2</v>
      </c>
    </row>
    <row r="228" spans="1:9" s="1" customFormat="1" ht="15.75" customHeight="1">
      <c r="A228" s="44"/>
      <c r="B228" s="45"/>
      <c r="C228" s="17">
        <v>2230</v>
      </c>
      <c r="D228" s="20">
        <f>D272</f>
        <v>267</v>
      </c>
      <c r="E228" s="20">
        <f t="shared" ref="E228:G228" si="140">E272</f>
        <v>264.39999999999998</v>
      </c>
      <c r="F228" s="20">
        <f t="shared" si="140"/>
        <v>544.1</v>
      </c>
      <c r="G228" s="20">
        <f t="shared" si="140"/>
        <v>356.6</v>
      </c>
      <c r="H228" s="20">
        <f t="shared" si="137"/>
        <v>811.1</v>
      </c>
      <c r="I228" s="30">
        <f t="shared" si="137"/>
        <v>621</v>
      </c>
    </row>
    <row r="229" spans="1:9" s="1" customFormat="1" ht="15.75" customHeight="1">
      <c r="A229" s="44"/>
      <c r="B229" s="45"/>
      <c r="C229" s="17">
        <v>2240</v>
      </c>
      <c r="D229" s="20">
        <f>D248+D260+D273+D291</f>
        <v>3687.2999999999997</v>
      </c>
      <c r="E229" s="20">
        <f t="shared" ref="E229:G229" si="141">E248+E260+E273+E291</f>
        <v>3673.3</v>
      </c>
      <c r="F229" s="20">
        <f t="shared" si="141"/>
        <v>57552.3</v>
      </c>
      <c r="G229" s="20">
        <f t="shared" si="141"/>
        <v>54254.7</v>
      </c>
      <c r="H229" s="20">
        <f t="shared" si="137"/>
        <v>61239.600000000006</v>
      </c>
      <c r="I229" s="30">
        <f t="shared" si="137"/>
        <v>57928</v>
      </c>
    </row>
    <row r="230" spans="1:9" s="1" customFormat="1" ht="15.75" customHeight="1">
      <c r="A230" s="44"/>
      <c r="B230" s="45"/>
      <c r="C230" s="17">
        <v>2250</v>
      </c>
      <c r="D230" s="20">
        <f>D249+D261+D274</f>
        <v>1551.8</v>
      </c>
      <c r="E230" s="20">
        <f t="shared" ref="E230:G230" si="142">E249+E261+E274</f>
        <v>1496.1999999999998</v>
      </c>
      <c r="F230" s="20">
        <f t="shared" si="142"/>
        <v>3703.3</v>
      </c>
      <c r="G230" s="20">
        <f t="shared" si="142"/>
        <v>3400.3999999999996</v>
      </c>
      <c r="H230" s="20">
        <f t="shared" si="137"/>
        <v>5255.1</v>
      </c>
      <c r="I230" s="30">
        <f t="shared" si="137"/>
        <v>4896.5999999999995</v>
      </c>
    </row>
    <row r="231" spans="1:9" s="1" customFormat="1" ht="15.75" customHeight="1">
      <c r="A231" s="44"/>
      <c r="B231" s="45"/>
      <c r="C231" s="17">
        <v>2270</v>
      </c>
      <c r="D231" s="20">
        <f>D250+D262+D275</f>
        <v>192546.1</v>
      </c>
      <c r="E231" s="20">
        <f t="shared" ref="E231:G231" si="143">E250+E262+E275</f>
        <v>191308.3</v>
      </c>
      <c r="F231" s="20">
        <f t="shared" si="143"/>
        <v>599142.9</v>
      </c>
      <c r="G231" s="20">
        <f t="shared" si="143"/>
        <v>596946.29999999993</v>
      </c>
      <c r="H231" s="20">
        <f t="shared" si="137"/>
        <v>791689</v>
      </c>
      <c r="I231" s="30">
        <f t="shared" si="137"/>
        <v>788254.59999999986</v>
      </c>
    </row>
    <row r="232" spans="1:9" s="1" customFormat="1" ht="15.75" customHeight="1">
      <c r="A232" s="44"/>
      <c r="B232" s="45"/>
      <c r="C232" s="17">
        <v>2281</v>
      </c>
      <c r="D232" s="20">
        <f>D254+D276+D292</f>
        <v>417.8</v>
      </c>
      <c r="E232" s="20">
        <f t="shared" ref="E232:G232" si="144">E254+E276+E292</f>
        <v>417.8</v>
      </c>
      <c r="F232" s="20">
        <f t="shared" si="144"/>
        <v>442.40000000000003</v>
      </c>
      <c r="G232" s="20">
        <f t="shared" si="144"/>
        <v>441.9</v>
      </c>
      <c r="H232" s="20">
        <f t="shared" si="137"/>
        <v>860.2</v>
      </c>
      <c r="I232" s="30">
        <f t="shared" si="137"/>
        <v>859.7</v>
      </c>
    </row>
    <row r="233" spans="1:9" s="1" customFormat="1" ht="15.75" customHeight="1">
      <c r="A233" s="44"/>
      <c r="B233" s="45"/>
      <c r="C233" s="17">
        <v>2282</v>
      </c>
      <c r="D233" s="20">
        <f>D263+D277</f>
        <v>27.8</v>
      </c>
      <c r="E233" s="20">
        <f t="shared" ref="E233:G233" si="145">E263+E277</f>
        <v>26.3</v>
      </c>
      <c r="F233" s="20">
        <f t="shared" si="145"/>
        <v>415</v>
      </c>
      <c r="G233" s="20">
        <f t="shared" si="145"/>
        <v>367.6</v>
      </c>
      <c r="H233" s="20">
        <f t="shared" si="137"/>
        <v>442.8</v>
      </c>
      <c r="I233" s="30">
        <f t="shared" si="137"/>
        <v>393.90000000000003</v>
      </c>
    </row>
    <row r="234" spans="1:9" s="1" customFormat="1" ht="15.75" customHeight="1">
      <c r="A234" s="44"/>
      <c r="B234" s="45"/>
      <c r="C234" s="17">
        <v>2600</v>
      </c>
      <c r="D234" s="20">
        <f>D287</f>
        <v>83408.100000000006</v>
      </c>
      <c r="E234" s="20">
        <f t="shared" ref="E234:G234" si="146">E287</f>
        <v>63406.400000000001</v>
      </c>
      <c r="F234" s="20">
        <f t="shared" si="146"/>
        <v>0</v>
      </c>
      <c r="G234" s="20">
        <f t="shared" si="146"/>
        <v>0</v>
      </c>
      <c r="H234" s="20">
        <f t="shared" ref="H234" si="147">D234+F234</f>
        <v>83408.100000000006</v>
      </c>
      <c r="I234" s="30">
        <f t="shared" ref="I234" si="148">E234+G234</f>
        <v>63406.400000000001</v>
      </c>
    </row>
    <row r="235" spans="1:9" s="1" customFormat="1" ht="15.75" customHeight="1">
      <c r="A235" s="44"/>
      <c r="B235" s="45"/>
      <c r="C235" s="17">
        <v>2700</v>
      </c>
      <c r="D235" s="20">
        <f>D278</f>
        <v>505.8</v>
      </c>
      <c r="E235" s="20">
        <f t="shared" ref="E235:G235" si="149">E278</f>
        <v>496.3</v>
      </c>
      <c r="F235" s="20">
        <f t="shared" si="149"/>
        <v>389.6</v>
      </c>
      <c r="G235" s="20">
        <f t="shared" si="149"/>
        <v>314.39999999999998</v>
      </c>
      <c r="H235" s="20">
        <f t="shared" si="137"/>
        <v>895.40000000000009</v>
      </c>
      <c r="I235" s="30">
        <f t="shared" si="137"/>
        <v>810.7</v>
      </c>
    </row>
    <row r="236" spans="1:9" s="1" customFormat="1" ht="15.75" customHeight="1">
      <c r="A236" s="44"/>
      <c r="B236" s="45"/>
      <c r="C236" s="17">
        <v>2800</v>
      </c>
      <c r="D236" s="20">
        <f>D251+D264+D279</f>
        <v>274</v>
      </c>
      <c r="E236" s="20">
        <f t="shared" ref="E236:G236" si="150">E251+E264+E279</f>
        <v>267.89999999999998</v>
      </c>
      <c r="F236" s="20">
        <f t="shared" si="150"/>
        <v>58311.700000000004</v>
      </c>
      <c r="G236" s="20">
        <f t="shared" si="150"/>
        <v>56724.7</v>
      </c>
      <c r="H236" s="20">
        <f t="shared" si="137"/>
        <v>58585.700000000004</v>
      </c>
      <c r="I236" s="30">
        <f t="shared" si="137"/>
        <v>56992.6</v>
      </c>
    </row>
    <row r="237" spans="1:9" s="1" customFormat="1" ht="15.75" customHeight="1">
      <c r="A237" s="44"/>
      <c r="B237" s="45"/>
      <c r="C237" s="17">
        <v>3110</v>
      </c>
      <c r="D237" s="20">
        <f>D265+D280+D293</f>
        <v>0</v>
      </c>
      <c r="E237" s="20">
        <f t="shared" ref="E237:G237" si="151">E265+E280+E293</f>
        <v>0</v>
      </c>
      <c r="F237" s="20">
        <f t="shared" si="151"/>
        <v>24531.5</v>
      </c>
      <c r="G237" s="20">
        <f t="shared" si="151"/>
        <v>18274</v>
      </c>
      <c r="H237" s="20">
        <f t="shared" si="137"/>
        <v>24531.5</v>
      </c>
      <c r="I237" s="30">
        <f t="shared" si="137"/>
        <v>18274</v>
      </c>
    </row>
    <row r="238" spans="1:9" s="1" customFormat="1" ht="15.75" customHeight="1">
      <c r="A238" s="44"/>
      <c r="B238" s="45"/>
      <c r="C238" s="17">
        <v>3120</v>
      </c>
      <c r="D238" s="20">
        <f>D281+D294</f>
        <v>8434.4</v>
      </c>
      <c r="E238" s="20">
        <f t="shared" ref="E238:G238" si="152">E281+E294</f>
        <v>8193.4</v>
      </c>
      <c r="F238" s="20">
        <f t="shared" si="152"/>
        <v>95217.8</v>
      </c>
      <c r="G238" s="20">
        <f t="shared" si="152"/>
        <v>88428.2</v>
      </c>
      <c r="H238" s="20">
        <f t="shared" si="137"/>
        <v>103652.2</v>
      </c>
      <c r="I238" s="30">
        <f t="shared" si="137"/>
        <v>96621.599999999991</v>
      </c>
    </row>
    <row r="239" spans="1:9" s="1" customFormat="1" ht="15.75" customHeight="1">
      <c r="A239" s="44"/>
      <c r="B239" s="45"/>
      <c r="C239" s="17">
        <v>3130</v>
      </c>
      <c r="D239" s="20">
        <f>D282+D295</f>
        <v>1412.3</v>
      </c>
      <c r="E239" s="20">
        <f t="shared" ref="E239:G239" si="153">E282+E295</f>
        <v>1412.3</v>
      </c>
      <c r="F239" s="20">
        <f t="shared" si="153"/>
        <v>101315.4</v>
      </c>
      <c r="G239" s="20">
        <f t="shared" si="153"/>
        <v>74060.600000000006</v>
      </c>
      <c r="H239" s="20">
        <f t="shared" si="137"/>
        <v>102727.7</v>
      </c>
      <c r="I239" s="30">
        <f t="shared" si="137"/>
        <v>75472.900000000009</v>
      </c>
    </row>
    <row r="240" spans="1:9" s="1" customFormat="1" ht="15.75" customHeight="1">
      <c r="A240" s="44"/>
      <c r="B240" s="45"/>
      <c r="C240" s="17">
        <v>3140</v>
      </c>
      <c r="D240" s="20">
        <f>D283+D296</f>
        <v>264</v>
      </c>
      <c r="E240" s="20">
        <f t="shared" ref="E240:G240" si="154">E283+E296</f>
        <v>264</v>
      </c>
      <c r="F240" s="20">
        <f t="shared" si="154"/>
        <v>67071.200000000012</v>
      </c>
      <c r="G240" s="20">
        <f t="shared" si="154"/>
        <v>45136.899999999994</v>
      </c>
      <c r="H240" s="20">
        <f t="shared" si="137"/>
        <v>67335.200000000012</v>
      </c>
      <c r="I240" s="30">
        <f t="shared" si="137"/>
        <v>45400.899999999994</v>
      </c>
    </row>
    <row r="241" spans="1:9" s="1" customFormat="1" ht="15.75" customHeight="1">
      <c r="A241" s="44"/>
      <c r="B241" s="45"/>
      <c r="C241" s="17">
        <v>3160</v>
      </c>
      <c r="D241" s="20">
        <f>D284</f>
        <v>0</v>
      </c>
      <c r="E241" s="20">
        <f t="shared" ref="E241:G241" si="155">E284</f>
        <v>0</v>
      </c>
      <c r="F241" s="20">
        <f t="shared" si="155"/>
        <v>0</v>
      </c>
      <c r="G241" s="20">
        <f t="shared" si="155"/>
        <v>0</v>
      </c>
      <c r="H241" s="20">
        <f t="shared" si="137"/>
        <v>0</v>
      </c>
      <c r="I241" s="30">
        <f t="shared" si="137"/>
        <v>0</v>
      </c>
    </row>
    <row r="242" spans="1:9" s="1" customFormat="1" ht="15.75" customHeight="1">
      <c r="A242" s="44"/>
      <c r="B242" s="45"/>
      <c r="C242" s="17">
        <v>3210</v>
      </c>
      <c r="D242" s="20">
        <f>D297</f>
        <v>62386.3</v>
      </c>
      <c r="E242" s="20">
        <f t="shared" ref="E242:G242" si="156">E297</f>
        <v>56542</v>
      </c>
      <c r="F242" s="20">
        <f t="shared" si="156"/>
        <v>0</v>
      </c>
      <c r="G242" s="20">
        <f t="shared" si="156"/>
        <v>0</v>
      </c>
      <c r="H242" s="20">
        <f t="shared" si="137"/>
        <v>62386.3</v>
      </c>
      <c r="I242" s="30">
        <f t="shared" si="137"/>
        <v>56542</v>
      </c>
    </row>
    <row r="243" spans="1:9" s="1" customFormat="1" ht="15.75" customHeight="1">
      <c r="A243" s="46"/>
      <c r="B243" s="47"/>
      <c r="C243" s="19" t="s">
        <v>10</v>
      </c>
      <c r="D243" s="20">
        <f>SUM(D224:D242)</f>
        <v>1144121.2000000002</v>
      </c>
      <c r="E243" s="20">
        <f t="shared" ref="E243:G243" si="157">SUM(E224:E242)</f>
        <v>1115875.3999999999</v>
      </c>
      <c r="F243" s="20">
        <f t="shared" si="157"/>
        <v>1260519.7</v>
      </c>
      <c r="G243" s="20">
        <f t="shared" si="157"/>
        <v>1179722</v>
      </c>
      <c r="H243" s="20">
        <f>D243+F243</f>
        <v>2404640.9000000004</v>
      </c>
      <c r="I243" s="30">
        <f t="shared" si="137"/>
        <v>2295597.4</v>
      </c>
    </row>
    <row r="244" spans="1:9" s="1" customFormat="1">
      <c r="A244" s="38">
        <v>2407010</v>
      </c>
      <c r="B244" s="39" t="s">
        <v>30</v>
      </c>
      <c r="C244" s="48" t="s">
        <v>31</v>
      </c>
      <c r="D244" s="49"/>
      <c r="E244" s="49"/>
      <c r="F244" s="49"/>
      <c r="G244" s="49"/>
      <c r="H244" s="49"/>
      <c r="I244" s="50"/>
    </row>
    <row r="245" spans="1:9" s="1" customFormat="1">
      <c r="A245" s="38"/>
      <c r="B245" s="39"/>
      <c r="C245" s="17">
        <v>2110</v>
      </c>
      <c r="D245" s="18">
        <v>7009</v>
      </c>
      <c r="E245" s="18">
        <v>7007.5</v>
      </c>
      <c r="F245" s="18"/>
      <c r="G245" s="18"/>
      <c r="H245" s="20">
        <f t="shared" ref="H245:I252" si="158">D245+F245</f>
        <v>7009</v>
      </c>
      <c r="I245" s="30">
        <f t="shared" si="158"/>
        <v>7007.5</v>
      </c>
    </row>
    <row r="246" spans="1:9" s="1" customFormat="1">
      <c r="A246" s="38"/>
      <c r="B246" s="39"/>
      <c r="C246" s="17">
        <v>2120</v>
      </c>
      <c r="D246" s="18">
        <v>2544.1999999999998</v>
      </c>
      <c r="E246" s="18">
        <v>2532</v>
      </c>
      <c r="F246" s="18"/>
      <c r="G246" s="18"/>
      <c r="H246" s="20">
        <f t="shared" si="158"/>
        <v>2544.1999999999998</v>
      </c>
      <c r="I246" s="30">
        <f t="shared" si="158"/>
        <v>2532</v>
      </c>
    </row>
    <row r="247" spans="1:9" s="1" customFormat="1">
      <c r="A247" s="38"/>
      <c r="B247" s="39"/>
      <c r="C247" s="17">
        <v>2210</v>
      </c>
      <c r="D247" s="18">
        <v>33.4</v>
      </c>
      <c r="E247" s="18">
        <v>33.4</v>
      </c>
      <c r="F247" s="18"/>
      <c r="G247" s="18"/>
      <c r="H247" s="20">
        <f t="shared" si="158"/>
        <v>33.4</v>
      </c>
      <c r="I247" s="30">
        <f t="shared" si="158"/>
        <v>33.4</v>
      </c>
    </row>
    <row r="248" spans="1:9" s="1" customFormat="1">
      <c r="A248" s="38"/>
      <c r="B248" s="39"/>
      <c r="C248" s="17">
        <v>2240</v>
      </c>
      <c r="D248" s="18">
        <v>134.69999999999999</v>
      </c>
      <c r="E248" s="18">
        <v>132.9</v>
      </c>
      <c r="F248" s="18"/>
      <c r="G248" s="18"/>
      <c r="H248" s="20">
        <f t="shared" si="158"/>
        <v>134.69999999999999</v>
      </c>
      <c r="I248" s="30">
        <f t="shared" si="158"/>
        <v>132.9</v>
      </c>
    </row>
    <row r="249" spans="1:9" s="1" customFormat="1">
      <c r="A249" s="38"/>
      <c r="B249" s="39"/>
      <c r="C249" s="17">
        <v>2250</v>
      </c>
      <c r="D249" s="18">
        <v>76.7</v>
      </c>
      <c r="E249" s="18">
        <v>76.7</v>
      </c>
      <c r="F249" s="18"/>
      <c r="G249" s="18"/>
      <c r="H249" s="20">
        <f t="shared" si="158"/>
        <v>76.7</v>
      </c>
      <c r="I249" s="30">
        <f t="shared" si="158"/>
        <v>76.7</v>
      </c>
    </row>
    <row r="250" spans="1:9" s="1" customFormat="1">
      <c r="A250" s="38"/>
      <c r="B250" s="39"/>
      <c r="C250" s="17">
        <v>2270</v>
      </c>
      <c r="D250" s="18">
        <v>248</v>
      </c>
      <c r="E250" s="18">
        <v>241.2</v>
      </c>
      <c r="F250" s="18"/>
      <c r="G250" s="18"/>
      <c r="H250" s="20">
        <f t="shared" si="158"/>
        <v>248</v>
      </c>
      <c r="I250" s="30">
        <f t="shared" si="158"/>
        <v>241.2</v>
      </c>
    </row>
    <row r="251" spans="1:9" s="1" customFormat="1">
      <c r="A251" s="38"/>
      <c r="B251" s="39"/>
      <c r="C251" s="17">
        <v>2800</v>
      </c>
      <c r="D251" s="18">
        <v>3.3</v>
      </c>
      <c r="E251" s="18">
        <v>2.7</v>
      </c>
      <c r="F251" s="18"/>
      <c r="G251" s="18"/>
      <c r="H251" s="20">
        <f t="shared" si="158"/>
        <v>3.3</v>
      </c>
      <c r="I251" s="30">
        <f t="shared" si="158"/>
        <v>2.7</v>
      </c>
    </row>
    <row r="252" spans="1:9" s="1" customFormat="1">
      <c r="A252" s="38"/>
      <c r="B252" s="39"/>
      <c r="C252" s="19" t="s">
        <v>10</v>
      </c>
      <c r="D252" s="20">
        <f>SUM(D245:D251)</f>
        <v>10049.300000000001</v>
      </c>
      <c r="E252" s="20">
        <f t="shared" ref="E252:G252" si="159">SUM(E245:E251)</f>
        <v>10026.400000000001</v>
      </c>
      <c r="F252" s="20">
        <f t="shared" si="159"/>
        <v>0</v>
      </c>
      <c r="G252" s="20">
        <f t="shared" si="159"/>
        <v>0</v>
      </c>
      <c r="H252" s="20">
        <f t="shared" si="158"/>
        <v>10049.300000000001</v>
      </c>
      <c r="I252" s="30">
        <f t="shared" si="158"/>
        <v>10026.400000000001</v>
      </c>
    </row>
    <row r="253" spans="1:9" s="1" customFormat="1" ht="30.75" customHeight="1">
      <c r="A253" s="38">
        <v>2407020</v>
      </c>
      <c r="B253" s="39" t="s">
        <v>32</v>
      </c>
      <c r="C253" s="48" t="s">
        <v>33</v>
      </c>
      <c r="D253" s="49"/>
      <c r="E253" s="49"/>
      <c r="F253" s="49"/>
      <c r="G253" s="49"/>
      <c r="H253" s="49"/>
      <c r="I253" s="50"/>
    </row>
    <row r="254" spans="1:9" s="1" customFormat="1">
      <c r="A254" s="38"/>
      <c r="B254" s="39"/>
      <c r="C254" s="17">
        <v>2281</v>
      </c>
      <c r="D254" s="18">
        <v>147.80000000000001</v>
      </c>
      <c r="E254" s="18">
        <v>147.80000000000001</v>
      </c>
      <c r="F254" s="18"/>
      <c r="G254" s="18"/>
      <c r="H254" s="20">
        <f>D254+F254</f>
        <v>147.80000000000001</v>
      </c>
      <c r="I254" s="30">
        <f>E254+G254</f>
        <v>147.80000000000001</v>
      </c>
    </row>
    <row r="255" spans="1:9" s="1" customFormat="1">
      <c r="A255" s="38"/>
      <c r="B255" s="39"/>
      <c r="C255" s="19" t="s">
        <v>10</v>
      </c>
      <c r="D255" s="20">
        <f>D254</f>
        <v>147.80000000000001</v>
      </c>
      <c r="E255" s="20">
        <f t="shared" ref="E255:G255" si="160">E254</f>
        <v>147.80000000000001</v>
      </c>
      <c r="F255" s="20">
        <f t="shared" si="160"/>
        <v>0</v>
      </c>
      <c r="G255" s="20">
        <f t="shared" si="160"/>
        <v>0</v>
      </c>
      <c r="H255" s="20">
        <f>D255+F255</f>
        <v>147.80000000000001</v>
      </c>
      <c r="I255" s="30">
        <f>E255+G255</f>
        <v>147.80000000000001</v>
      </c>
    </row>
    <row r="256" spans="1:9" s="1" customFormat="1">
      <c r="A256" s="38">
        <v>2407040</v>
      </c>
      <c r="B256" s="39" t="s">
        <v>16</v>
      </c>
      <c r="C256" s="48" t="s">
        <v>34</v>
      </c>
      <c r="D256" s="49"/>
      <c r="E256" s="49"/>
      <c r="F256" s="49"/>
      <c r="G256" s="49"/>
      <c r="H256" s="49"/>
      <c r="I256" s="50"/>
    </row>
    <row r="257" spans="1:9" s="1" customFormat="1">
      <c r="A257" s="38"/>
      <c r="B257" s="39"/>
      <c r="C257" s="17">
        <v>2110</v>
      </c>
      <c r="D257" s="18">
        <v>1739.8</v>
      </c>
      <c r="E257" s="18">
        <v>1739.8</v>
      </c>
      <c r="F257" s="18">
        <f>497.3</f>
        <v>497.3</v>
      </c>
      <c r="G257" s="18">
        <f>455.5</f>
        <v>455.5</v>
      </c>
      <c r="H257" s="20">
        <f t="shared" ref="H257:I265" si="161">D257+F257</f>
        <v>2237.1</v>
      </c>
      <c r="I257" s="30">
        <f t="shared" si="161"/>
        <v>2195.3000000000002</v>
      </c>
    </row>
    <row r="258" spans="1:9" s="1" customFormat="1">
      <c r="A258" s="38"/>
      <c r="B258" s="39"/>
      <c r="C258" s="17">
        <v>2120</v>
      </c>
      <c r="D258" s="18">
        <v>602.9</v>
      </c>
      <c r="E258" s="18">
        <v>602.9</v>
      </c>
      <c r="F258" s="18">
        <f>189.6</f>
        <v>189.6</v>
      </c>
      <c r="G258" s="18">
        <f>174.7</f>
        <v>174.7</v>
      </c>
      <c r="H258" s="20">
        <f t="shared" si="161"/>
        <v>792.5</v>
      </c>
      <c r="I258" s="30">
        <f t="shared" si="161"/>
        <v>777.59999999999991</v>
      </c>
    </row>
    <row r="259" spans="1:9" s="1" customFormat="1">
      <c r="A259" s="38"/>
      <c r="B259" s="39"/>
      <c r="C259" s="17">
        <v>2210</v>
      </c>
      <c r="D259" s="18"/>
      <c r="E259" s="18"/>
      <c r="F259" s="18">
        <f>202.8</f>
        <v>202.8</v>
      </c>
      <c r="G259" s="18">
        <f>201.9</f>
        <v>201.9</v>
      </c>
      <c r="H259" s="20">
        <f t="shared" si="161"/>
        <v>202.8</v>
      </c>
      <c r="I259" s="30">
        <f t="shared" si="161"/>
        <v>201.9</v>
      </c>
    </row>
    <row r="260" spans="1:9" s="1" customFormat="1">
      <c r="A260" s="38"/>
      <c r="B260" s="39"/>
      <c r="C260" s="17">
        <v>2240</v>
      </c>
      <c r="D260" s="18"/>
      <c r="E260" s="18"/>
      <c r="F260" s="18">
        <f>136.5</f>
        <v>136.5</v>
      </c>
      <c r="G260" s="18">
        <f>122.2</f>
        <v>122.2</v>
      </c>
      <c r="H260" s="20">
        <f t="shared" si="161"/>
        <v>136.5</v>
      </c>
      <c r="I260" s="30">
        <f t="shared" si="161"/>
        <v>122.2</v>
      </c>
    </row>
    <row r="261" spans="1:9" s="1" customFormat="1">
      <c r="A261" s="38"/>
      <c r="B261" s="39"/>
      <c r="C261" s="17">
        <v>2250</v>
      </c>
      <c r="D261" s="18">
        <v>9.9</v>
      </c>
      <c r="E261" s="18">
        <v>9.9</v>
      </c>
      <c r="F261" s="18">
        <f>7</f>
        <v>7</v>
      </c>
      <c r="G261" s="18">
        <f>6.1</f>
        <v>6.1</v>
      </c>
      <c r="H261" s="20">
        <f t="shared" si="161"/>
        <v>16.899999999999999</v>
      </c>
      <c r="I261" s="30">
        <f t="shared" si="161"/>
        <v>16</v>
      </c>
    </row>
    <row r="262" spans="1:9" s="1" customFormat="1">
      <c r="A262" s="38"/>
      <c r="B262" s="39"/>
      <c r="C262" s="17">
        <v>2270</v>
      </c>
      <c r="D262" s="18">
        <v>192.7</v>
      </c>
      <c r="E262" s="18">
        <v>192.7</v>
      </c>
      <c r="F262" s="18">
        <f>504.4</f>
        <v>504.4</v>
      </c>
      <c r="G262" s="18">
        <f>493.7</f>
        <v>493.7</v>
      </c>
      <c r="H262" s="20">
        <f t="shared" si="161"/>
        <v>697.09999999999991</v>
      </c>
      <c r="I262" s="30">
        <f t="shared" si="161"/>
        <v>686.4</v>
      </c>
    </row>
    <row r="263" spans="1:9" s="1" customFormat="1">
      <c r="A263" s="38"/>
      <c r="B263" s="39"/>
      <c r="C263" s="17">
        <v>2282</v>
      </c>
      <c r="D263" s="18"/>
      <c r="E263" s="18"/>
      <c r="F263" s="18"/>
      <c r="G263" s="18"/>
      <c r="H263" s="20">
        <f t="shared" si="161"/>
        <v>0</v>
      </c>
      <c r="I263" s="30">
        <f t="shared" si="161"/>
        <v>0</v>
      </c>
    </row>
    <row r="264" spans="1:9" s="1" customFormat="1">
      <c r="A264" s="38"/>
      <c r="B264" s="39"/>
      <c r="C264" s="17">
        <v>2800</v>
      </c>
      <c r="D264" s="18"/>
      <c r="E264" s="18"/>
      <c r="F264" s="18">
        <f>106.8</f>
        <v>106.8</v>
      </c>
      <c r="G264" s="18">
        <f>106.7</f>
        <v>106.7</v>
      </c>
      <c r="H264" s="20">
        <f t="shared" si="161"/>
        <v>106.8</v>
      </c>
      <c r="I264" s="30">
        <f t="shared" si="161"/>
        <v>106.7</v>
      </c>
    </row>
    <row r="265" spans="1:9" s="1" customFormat="1">
      <c r="A265" s="38"/>
      <c r="B265" s="39"/>
      <c r="C265" s="17">
        <v>3110</v>
      </c>
      <c r="D265" s="18"/>
      <c r="E265" s="18"/>
      <c r="F265" s="18"/>
      <c r="G265" s="18"/>
      <c r="H265" s="20">
        <f t="shared" si="161"/>
        <v>0</v>
      </c>
      <c r="I265" s="30">
        <f t="shared" si="161"/>
        <v>0</v>
      </c>
    </row>
    <row r="266" spans="1:9" s="1" customFormat="1">
      <c r="A266" s="38"/>
      <c r="B266" s="39"/>
      <c r="C266" s="19" t="s">
        <v>10</v>
      </c>
      <c r="D266" s="20">
        <f>SUM(D257:D265)</f>
        <v>2545.2999999999997</v>
      </c>
      <c r="E266" s="20">
        <f t="shared" ref="E266:G266" si="162">SUM(E257:E265)</f>
        <v>2545.2999999999997</v>
      </c>
      <c r="F266" s="20">
        <f t="shared" si="162"/>
        <v>1644.3999999999999</v>
      </c>
      <c r="G266" s="20">
        <f t="shared" si="162"/>
        <v>1560.8000000000002</v>
      </c>
      <c r="H266" s="20">
        <f t="shared" ref="H266" si="163">H257+H258+H259+H260+H261+H262+H263+H264+H265</f>
        <v>4189.7</v>
      </c>
      <c r="I266" s="30">
        <f t="shared" ref="I266" si="164">I257+I258+I259+I260+I261+I262+I263+I264+I265</f>
        <v>4106.1000000000004</v>
      </c>
    </row>
    <row r="267" spans="1:9" s="1" customFormat="1">
      <c r="A267" s="32">
        <v>2407050</v>
      </c>
      <c r="B267" s="35" t="s">
        <v>30</v>
      </c>
      <c r="C267" s="48" t="s">
        <v>35</v>
      </c>
      <c r="D267" s="49"/>
      <c r="E267" s="49"/>
      <c r="F267" s="49"/>
      <c r="G267" s="49"/>
      <c r="H267" s="49"/>
      <c r="I267" s="50"/>
    </row>
    <row r="268" spans="1:9" s="1" customFormat="1">
      <c r="A268" s="33"/>
      <c r="B268" s="36"/>
      <c r="C268" s="17">
        <v>2110</v>
      </c>
      <c r="D268" s="18">
        <v>568591.19999999995</v>
      </c>
      <c r="E268" s="18">
        <v>568550.40000000002</v>
      </c>
      <c r="F268" s="18">
        <f>82164.7+1778.3</f>
        <v>83943</v>
      </c>
      <c r="G268" s="18">
        <f>77838.2+1771.6</f>
        <v>79609.8</v>
      </c>
      <c r="H268" s="20">
        <f>D268+F268</f>
        <v>652534.19999999995</v>
      </c>
      <c r="I268" s="30">
        <f>E268+G268</f>
        <v>648160.20000000007</v>
      </c>
    </row>
    <row r="269" spans="1:9" s="1" customFormat="1">
      <c r="A269" s="33"/>
      <c r="B269" s="36"/>
      <c r="C269" s="17">
        <v>2120</v>
      </c>
      <c r="D269" s="18">
        <v>202245.8</v>
      </c>
      <c r="E269" s="18">
        <v>201470.6</v>
      </c>
      <c r="F269" s="18">
        <f>29706+637.9</f>
        <v>30343.9</v>
      </c>
      <c r="G269" s="18">
        <f>27768.7+634.4</f>
        <v>28403.100000000002</v>
      </c>
      <c r="H269" s="20">
        <f t="shared" ref="H269:I285" si="165">D269+F269</f>
        <v>232589.69999999998</v>
      </c>
      <c r="I269" s="30">
        <f t="shared" si="165"/>
        <v>229873.7</v>
      </c>
    </row>
    <row r="270" spans="1:9" s="1" customFormat="1">
      <c r="A270" s="33"/>
      <c r="B270" s="36"/>
      <c r="C270" s="17">
        <v>2210</v>
      </c>
      <c r="D270" s="18">
        <v>6169.2</v>
      </c>
      <c r="E270" s="18">
        <v>6167.2</v>
      </c>
      <c r="F270" s="18">
        <f>134943.9+1628.5+60.2</f>
        <v>136632.6</v>
      </c>
      <c r="G270" s="18">
        <f>130633+1404.3+60.2</f>
        <v>132097.5</v>
      </c>
      <c r="H270" s="20">
        <f t="shared" si="165"/>
        <v>142801.80000000002</v>
      </c>
      <c r="I270" s="30">
        <f t="shared" si="165"/>
        <v>138264.70000000001</v>
      </c>
    </row>
    <row r="271" spans="1:9" s="1" customFormat="1">
      <c r="A271" s="33"/>
      <c r="B271" s="36"/>
      <c r="C271" s="17">
        <v>2220</v>
      </c>
      <c r="D271" s="18">
        <v>3</v>
      </c>
      <c r="E271" s="18">
        <v>3</v>
      </c>
      <c r="F271" s="18">
        <f>73.3</f>
        <v>73.3</v>
      </c>
      <c r="G271" s="18">
        <f>73.2</f>
        <v>73.2</v>
      </c>
      <c r="H271" s="20">
        <f t="shared" si="165"/>
        <v>76.3</v>
      </c>
      <c r="I271" s="30">
        <f t="shared" si="165"/>
        <v>76.2</v>
      </c>
    </row>
    <row r="272" spans="1:9" s="1" customFormat="1">
      <c r="A272" s="33"/>
      <c r="B272" s="36"/>
      <c r="C272" s="17">
        <v>2230</v>
      </c>
      <c r="D272" s="18">
        <v>267</v>
      </c>
      <c r="E272" s="18">
        <v>264.39999999999998</v>
      </c>
      <c r="F272" s="18">
        <f>544.1</f>
        <v>544.1</v>
      </c>
      <c r="G272" s="18">
        <f>356.6</f>
        <v>356.6</v>
      </c>
      <c r="H272" s="20">
        <f t="shared" si="165"/>
        <v>811.1</v>
      </c>
      <c r="I272" s="30">
        <f t="shared" si="165"/>
        <v>621</v>
      </c>
    </row>
    <row r="273" spans="1:9" s="1" customFormat="1">
      <c r="A273" s="33"/>
      <c r="B273" s="36"/>
      <c r="C273" s="17">
        <v>2240</v>
      </c>
      <c r="D273" s="18">
        <v>3552.6</v>
      </c>
      <c r="E273" s="18">
        <v>3540.4</v>
      </c>
      <c r="F273" s="18">
        <f>45067.4+11825.1+523.3</f>
        <v>57415.8</v>
      </c>
      <c r="G273" s="18">
        <f>42414.2+11195+523.3</f>
        <v>54132.5</v>
      </c>
      <c r="H273" s="20">
        <f t="shared" si="165"/>
        <v>60968.4</v>
      </c>
      <c r="I273" s="30">
        <f t="shared" si="165"/>
        <v>57672.9</v>
      </c>
    </row>
    <row r="274" spans="1:9" s="1" customFormat="1">
      <c r="A274" s="33"/>
      <c r="B274" s="36"/>
      <c r="C274" s="17">
        <v>2250</v>
      </c>
      <c r="D274" s="18">
        <v>1465.2</v>
      </c>
      <c r="E274" s="18">
        <v>1409.6</v>
      </c>
      <c r="F274" s="18">
        <f>3217.4+478.9</f>
        <v>3696.3</v>
      </c>
      <c r="G274" s="18">
        <f>2933.2+461.1</f>
        <v>3394.2999999999997</v>
      </c>
      <c r="H274" s="20">
        <f t="shared" si="165"/>
        <v>5161.5</v>
      </c>
      <c r="I274" s="30">
        <f t="shared" si="165"/>
        <v>4803.8999999999996</v>
      </c>
    </row>
    <row r="275" spans="1:9" s="1" customFormat="1">
      <c r="A275" s="33"/>
      <c r="B275" s="36"/>
      <c r="C275" s="17">
        <v>2270</v>
      </c>
      <c r="D275" s="18">
        <v>192105.4</v>
      </c>
      <c r="E275" s="18">
        <v>190874.4</v>
      </c>
      <c r="F275" s="18">
        <f>598638.3+0.2</f>
        <v>598638.5</v>
      </c>
      <c r="G275" s="18">
        <f>596452.6</f>
        <v>596452.6</v>
      </c>
      <c r="H275" s="20">
        <f t="shared" si="165"/>
        <v>790743.9</v>
      </c>
      <c r="I275" s="30">
        <f t="shared" si="165"/>
        <v>787327</v>
      </c>
    </row>
    <row r="276" spans="1:9" s="1" customFormat="1">
      <c r="A276" s="33"/>
      <c r="B276" s="36"/>
      <c r="C276" s="17">
        <v>2281</v>
      </c>
      <c r="D276" s="18">
        <v>70</v>
      </c>
      <c r="E276" s="18">
        <v>70</v>
      </c>
      <c r="F276" s="18">
        <f>71.8+370.6</f>
        <v>442.40000000000003</v>
      </c>
      <c r="G276" s="18">
        <f>71.6+370.3</f>
        <v>441.9</v>
      </c>
      <c r="H276" s="20">
        <f t="shared" si="165"/>
        <v>512.40000000000009</v>
      </c>
      <c r="I276" s="30">
        <f t="shared" si="165"/>
        <v>511.9</v>
      </c>
    </row>
    <row r="277" spans="1:9" s="1" customFormat="1">
      <c r="A277" s="33"/>
      <c r="B277" s="36"/>
      <c r="C277" s="17">
        <v>2282</v>
      </c>
      <c r="D277" s="18">
        <v>27.8</v>
      </c>
      <c r="E277" s="18">
        <v>26.3</v>
      </c>
      <c r="F277" s="18">
        <f>400.8+14.2</f>
        <v>415</v>
      </c>
      <c r="G277" s="18">
        <f>353.3+14.3</f>
        <v>367.6</v>
      </c>
      <c r="H277" s="20">
        <f t="shared" si="165"/>
        <v>442.8</v>
      </c>
      <c r="I277" s="30">
        <f t="shared" si="165"/>
        <v>393.90000000000003</v>
      </c>
    </row>
    <row r="278" spans="1:9" s="1" customFormat="1">
      <c r="A278" s="33"/>
      <c r="B278" s="36"/>
      <c r="C278" s="17">
        <v>2700</v>
      </c>
      <c r="D278" s="18">
        <v>505.8</v>
      </c>
      <c r="E278" s="18">
        <v>496.3</v>
      </c>
      <c r="F278" s="18">
        <f>389.6</f>
        <v>389.6</v>
      </c>
      <c r="G278" s="18">
        <f>314.4</f>
        <v>314.39999999999998</v>
      </c>
      <c r="H278" s="20">
        <f t="shared" si="165"/>
        <v>895.40000000000009</v>
      </c>
      <c r="I278" s="30">
        <f t="shared" si="165"/>
        <v>810.7</v>
      </c>
    </row>
    <row r="279" spans="1:9" s="1" customFormat="1">
      <c r="A279" s="33"/>
      <c r="B279" s="36"/>
      <c r="C279" s="17">
        <v>2800</v>
      </c>
      <c r="D279" s="18">
        <v>270.7</v>
      </c>
      <c r="E279" s="18">
        <v>265.2</v>
      </c>
      <c r="F279" s="18">
        <f>58204.9</f>
        <v>58204.9</v>
      </c>
      <c r="G279" s="18">
        <f>56618</f>
        <v>56618</v>
      </c>
      <c r="H279" s="20">
        <f t="shared" si="165"/>
        <v>58475.6</v>
      </c>
      <c r="I279" s="30">
        <f t="shared" si="165"/>
        <v>56883.199999999997</v>
      </c>
    </row>
    <row r="280" spans="1:9" s="1" customFormat="1">
      <c r="A280" s="33"/>
      <c r="B280" s="36"/>
      <c r="C280" s="17">
        <v>3110</v>
      </c>
      <c r="D280" s="18"/>
      <c r="E280" s="18"/>
      <c r="F280" s="18">
        <f>20856.9+3674.6</f>
        <v>24531.5</v>
      </c>
      <c r="G280" s="18">
        <f>14610.3+3663.7</f>
        <v>18274</v>
      </c>
      <c r="H280" s="20">
        <f t="shared" si="165"/>
        <v>24531.5</v>
      </c>
      <c r="I280" s="30">
        <f t="shared" si="165"/>
        <v>18274</v>
      </c>
    </row>
    <row r="281" spans="1:9" s="1" customFormat="1">
      <c r="A281" s="33"/>
      <c r="B281" s="36"/>
      <c r="C281" s="17">
        <v>3120</v>
      </c>
      <c r="D281" s="18"/>
      <c r="E281" s="18"/>
      <c r="F281" s="18">
        <f>466.3+56799.4+37952.1</f>
        <v>95217.8</v>
      </c>
      <c r="G281" s="18">
        <f>422.5+56616.2+31389.5</f>
        <v>88428.2</v>
      </c>
      <c r="H281" s="20">
        <f t="shared" ref="H281" si="166">D281+F281</f>
        <v>95217.8</v>
      </c>
      <c r="I281" s="30">
        <f t="shared" ref="I281" si="167">E281+G281</f>
        <v>88428.2</v>
      </c>
    </row>
    <row r="282" spans="1:9" s="1" customFormat="1">
      <c r="A282" s="33"/>
      <c r="B282" s="36"/>
      <c r="C282" s="17">
        <v>3130</v>
      </c>
      <c r="D282" s="18">
        <v>1000</v>
      </c>
      <c r="E282" s="18">
        <v>1000</v>
      </c>
      <c r="F282" s="18">
        <f>50038.9+608.2+50668.3</f>
        <v>101315.4</v>
      </c>
      <c r="G282" s="18">
        <f>22784.1+608.2+50668.3</f>
        <v>74060.600000000006</v>
      </c>
      <c r="H282" s="20">
        <f t="shared" si="165"/>
        <v>102315.4</v>
      </c>
      <c r="I282" s="30">
        <f t="shared" si="165"/>
        <v>75060.600000000006</v>
      </c>
    </row>
    <row r="283" spans="1:9" s="1" customFormat="1">
      <c r="A283" s="33"/>
      <c r="B283" s="36"/>
      <c r="C283" s="17">
        <v>3140</v>
      </c>
      <c r="D283" s="18"/>
      <c r="E283" s="18"/>
      <c r="F283" s="18">
        <f>15385.6+6073.3+45612.3</f>
        <v>67071.200000000012</v>
      </c>
      <c r="G283" s="18">
        <f>4143.3+6073.4+34920.2</f>
        <v>45136.899999999994</v>
      </c>
      <c r="H283" s="20">
        <f t="shared" si="165"/>
        <v>67071.200000000012</v>
      </c>
      <c r="I283" s="30">
        <f t="shared" si="165"/>
        <v>45136.899999999994</v>
      </c>
    </row>
    <row r="284" spans="1:9" s="1" customFormat="1">
      <c r="A284" s="33"/>
      <c r="B284" s="36"/>
      <c r="C284" s="17">
        <v>3160</v>
      </c>
      <c r="D284" s="18"/>
      <c r="E284" s="18"/>
      <c r="F284" s="18"/>
      <c r="G284" s="18"/>
      <c r="H284" s="20">
        <f t="shared" si="165"/>
        <v>0</v>
      </c>
      <c r="I284" s="30">
        <f t="shared" si="165"/>
        <v>0</v>
      </c>
    </row>
    <row r="285" spans="1:9" s="1" customFormat="1">
      <c r="A285" s="34"/>
      <c r="B285" s="37"/>
      <c r="C285" s="19" t="s">
        <v>10</v>
      </c>
      <c r="D285" s="20">
        <f>SUM(D268:D284)</f>
        <v>976273.7</v>
      </c>
      <c r="E285" s="20">
        <f t="shared" ref="E285:G285" si="168">SUM(E268:E284)</f>
        <v>974137.8</v>
      </c>
      <c r="F285" s="20">
        <f t="shared" si="168"/>
        <v>1258875.2999999998</v>
      </c>
      <c r="G285" s="20">
        <f t="shared" si="168"/>
        <v>1178161.2000000002</v>
      </c>
      <c r="H285" s="20">
        <f t="shared" si="165"/>
        <v>2235149</v>
      </c>
      <c r="I285" s="30">
        <f t="shared" si="165"/>
        <v>2152299</v>
      </c>
    </row>
    <row r="286" spans="1:9" s="1" customFormat="1" ht="30" customHeight="1">
      <c r="A286" s="38">
        <v>2407130</v>
      </c>
      <c r="B286" s="39" t="s">
        <v>19</v>
      </c>
      <c r="C286" s="48" t="s">
        <v>53</v>
      </c>
      <c r="D286" s="49"/>
      <c r="E286" s="49"/>
      <c r="F286" s="49"/>
      <c r="G286" s="49"/>
      <c r="H286" s="49"/>
      <c r="I286" s="50"/>
    </row>
    <row r="287" spans="1:9" s="1" customFormat="1">
      <c r="A287" s="38"/>
      <c r="B287" s="39"/>
      <c r="C287" s="17">
        <v>2600</v>
      </c>
      <c r="D287" s="18">
        <v>83408.100000000006</v>
      </c>
      <c r="E287" s="18">
        <v>63406.400000000001</v>
      </c>
      <c r="F287" s="18"/>
      <c r="G287" s="18"/>
      <c r="H287" s="20">
        <f>D287+F287</f>
        <v>83408.100000000006</v>
      </c>
      <c r="I287" s="30">
        <f>E287+G287</f>
        <v>63406.400000000001</v>
      </c>
    </row>
    <row r="288" spans="1:9" s="1" customFormat="1">
      <c r="A288" s="38"/>
      <c r="B288" s="39"/>
      <c r="C288" s="19" t="s">
        <v>10</v>
      </c>
      <c r="D288" s="20">
        <f>D287</f>
        <v>83408.100000000006</v>
      </c>
      <c r="E288" s="20">
        <f t="shared" ref="E288:G288" si="169">E287</f>
        <v>63406.400000000001</v>
      </c>
      <c r="F288" s="20">
        <f t="shared" si="169"/>
        <v>0</v>
      </c>
      <c r="G288" s="20">
        <f t="shared" si="169"/>
        <v>0</v>
      </c>
      <c r="H288" s="20">
        <f>D288+F288</f>
        <v>83408.100000000006</v>
      </c>
      <c r="I288" s="30">
        <f>E288+G288</f>
        <v>63406.400000000001</v>
      </c>
    </row>
    <row r="289" spans="1:9" s="1" customFormat="1" ht="30" customHeight="1">
      <c r="A289" s="32">
        <v>2407070</v>
      </c>
      <c r="B289" s="35" t="s">
        <v>19</v>
      </c>
      <c r="C289" s="48" t="s">
        <v>36</v>
      </c>
      <c r="D289" s="49"/>
      <c r="E289" s="49"/>
      <c r="F289" s="49"/>
      <c r="G289" s="49"/>
      <c r="H289" s="49"/>
      <c r="I289" s="50"/>
    </row>
    <row r="290" spans="1:9" s="1" customFormat="1">
      <c r="A290" s="33"/>
      <c r="B290" s="36"/>
      <c r="C290" s="17">
        <v>2210</v>
      </c>
      <c r="D290" s="18"/>
      <c r="E290" s="18"/>
      <c r="F290" s="18"/>
      <c r="G290" s="18"/>
      <c r="H290" s="20">
        <f t="shared" ref="H290" si="170">D290+F290</f>
        <v>0</v>
      </c>
      <c r="I290" s="30">
        <f t="shared" ref="I290" si="171">E290+G290</f>
        <v>0</v>
      </c>
    </row>
    <row r="291" spans="1:9" s="1" customFormat="1">
      <c r="A291" s="33"/>
      <c r="B291" s="36"/>
      <c r="C291" s="17">
        <v>2240</v>
      </c>
      <c r="D291" s="18"/>
      <c r="E291" s="18"/>
      <c r="F291" s="18"/>
      <c r="G291" s="18"/>
      <c r="H291" s="20">
        <f t="shared" ref="H291" si="172">D291+F291</f>
        <v>0</v>
      </c>
      <c r="I291" s="30">
        <f t="shared" ref="I291" si="173">E291+G291</f>
        <v>0</v>
      </c>
    </row>
    <row r="292" spans="1:9" s="1" customFormat="1">
      <c r="A292" s="33"/>
      <c r="B292" s="36"/>
      <c r="C292" s="17">
        <v>2281</v>
      </c>
      <c r="D292" s="18">
        <v>200</v>
      </c>
      <c r="E292" s="18">
        <v>200</v>
      </c>
      <c r="F292" s="18"/>
      <c r="G292" s="18"/>
      <c r="H292" s="20">
        <f t="shared" ref="H292:I298" si="174">D292+F292</f>
        <v>200</v>
      </c>
      <c r="I292" s="30">
        <f t="shared" si="174"/>
        <v>200</v>
      </c>
    </row>
    <row r="293" spans="1:9" s="1" customFormat="1" ht="14.25" customHeight="1">
      <c r="A293" s="33"/>
      <c r="B293" s="36"/>
      <c r="C293" s="17">
        <v>3110</v>
      </c>
      <c r="D293" s="18"/>
      <c r="E293" s="18"/>
      <c r="F293" s="18"/>
      <c r="G293" s="18"/>
      <c r="H293" s="20">
        <f t="shared" ref="H293" si="175">D293+F293</f>
        <v>0</v>
      </c>
      <c r="I293" s="30">
        <f t="shared" ref="I293" si="176">E293+G293</f>
        <v>0</v>
      </c>
    </row>
    <row r="294" spans="1:9" s="1" customFormat="1" ht="14.25" customHeight="1">
      <c r="A294" s="33"/>
      <c r="B294" s="36"/>
      <c r="C294" s="17">
        <v>3120</v>
      </c>
      <c r="D294" s="18">
        <v>8434.4</v>
      </c>
      <c r="E294" s="18">
        <v>8193.4</v>
      </c>
      <c r="F294" s="18"/>
      <c r="G294" s="18"/>
      <c r="H294" s="20">
        <f t="shared" si="174"/>
        <v>8434.4</v>
      </c>
      <c r="I294" s="30">
        <f t="shared" si="174"/>
        <v>8193.4</v>
      </c>
    </row>
    <row r="295" spans="1:9" s="1" customFormat="1">
      <c r="A295" s="33"/>
      <c r="B295" s="36"/>
      <c r="C295" s="17">
        <v>3130</v>
      </c>
      <c r="D295" s="18">
        <v>412.3</v>
      </c>
      <c r="E295" s="18">
        <v>412.3</v>
      </c>
      <c r="F295" s="18"/>
      <c r="G295" s="18"/>
      <c r="H295" s="20">
        <f t="shared" si="174"/>
        <v>412.3</v>
      </c>
      <c r="I295" s="30">
        <f t="shared" si="174"/>
        <v>412.3</v>
      </c>
    </row>
    <row r="296" spans="1:9" s="1" customFormat="1">
      <c r="A296" s="33"/>
      <c r="B296" s="36"/>
      <c r="C296" s="17">
        <v>3140</v>
      </c>
      <c r="D296" s="18">
        <v>264</v>
      </c>
      <c r="E296" s="18">
        <v>264</v>
      </c>
      <c r="F296" s="18"/>
      <c r="G296" s="18"/>
      <c r="H296" s="20">
        <f t="shared" si="174"/>
        <v>264</v>
      </c>
      <c r="I296" s="30">
        <f t="shared" si="174"/>
        <v>264</v>
      </c>
    </row>
    <row r="297" spans="1:9" s="1" customFormat="1">
      <c r="A297" s="33"/>
      <c r="B297" s="36"/>
      <c r="C297" s="17">
        <v>3210</v>
      </c>
      <c r="D297" s="18">
        <v>62386.3</v>
      </c>
      <c r="E297" s="18">
        <v>56542</v>
      </c>
      <c r="F297" s="18"/>
      <c r="G297" s="18"/>
      <c r="H297" s="20">
        <f t="shared" si="174"/>
        <v>62386.3</v>
      </c>
      <c r="I297" s="30">
        <f t="shared" si="174"/>
        <v>56542</v>
      </c>
    </row>
    <row r="298" spans="1:9" s="1" customFormat="1">
      <c r="A298" s="34"/>
      <c r="B298" s="37"/>
      <c r="C298" s="19" t="s">
        <v>10</v>
      </c>
      <c r="D298" s="20">
        <f>SUM(D290:D297)</f>
        <v>71697</v>
      </c>
      <c r="E298" s="20">
        <f t="shared" ref="E298:G298" si="177">SUM(E290:E297)</f>
        <v>65611.7</v>
      </c>
      <c r="F298" s="20">
        <f t="shared" si="177"/>
        <v>0</v>
      </c>
      <c r="G298" s="20">
        <f t="shared" si="177"/>
        <v>0</v>
      </c>
      <c r="H298" s="20">
        <f t="shared" si="174"/>
        <v>71697</v>
      </c>
      <c r="I298" s="30">
        <f t="shared" si="174"/>
        <v>65611.7</v>
      </c>
    </row>
    <row r="299" spans="1:9" s="1" customFormat="1" ht="38.25" customHeight="1">
      <c r="A299" s="42">
        <v>2408000</v>
      </c>
      <c r="B299" s="43"/>
      <c r="C299" s="56" t="s">
        <v>37</v>
      </c>
      <c r="D299" s="57"/>
      <c r="E299" s="57"/>
      <c r="F299" s="57"/>
      <c r="G299" s="57"/>
      <c r="H299" s="57"/>
      <c r="I299" s="58"/>
    </row>
    <row r="300" spans="1:9" s="1" customFormat="1" ht="15" customHeight="1">
      <c r="A300" s="44"/>
      <c r="B300" s="45"/>
      <c r="C300" s="17">
        <v>2110</v>
      </c>
      <c r="D300" s="20">
        <f t="shared" ref="D300:D305" si="178">D313+D329</f>
        <v>5771.9</v>
      </c>
      <c r="E300" s="20">
        <f t="shared" ref="E300:G300" si="179">E313+E329</f>
        <v>5771.9</v>
      </c>
      <c r="F300" s="20">
        <f t="shared" si="179"/>
        <v>0</v>
      </c>
      <c r="G300" s="20">
        <f t="shared" si="179"/>
        <v>0</v>
      </c>
      <c r="H300" s="20">
        <f>D300+F300</f>
        <v>5771.9</v>
      </c>
      <c r="I300" s="30">
        <f>E300+G300</f>
        <v>5771.9</v>
      </c>
    </row>
    <row r="301" spans="1:9" s="1" customFormat="1" ht="15" customHeight="1">
      <c r="A301" s="44"/>
      <c r="B301" s="45"/>
      <c r="C301" s="17">
        <v>2120</v>
      </c>
      <c r="D301" s="20">
        <f t="shared" si="178"/>
        <v>2093.4</v>
      </c>
      <c r="E301" s="20">
        <f t="shared" ref="E301:G301" si="180">E314+E330</f>
        <v>2080.9</v>
      </c>
      <c r="F301" s="20">
        <f t="shared" si="180"/>
        <v>0</v>
      </c>
      <c r="G301" s="20">
        <f t="shared" si="180"/>
        <v>0</v>
      </c>
      <c r="H301" s="20">
        <f t="shared" ref="H301:I310" si="181">D301+F301</f>
        <v>2093.4</v>
      </c>
      <c r="I301" s="30">
        <f t="shared" si="181"/>
        <v>2080.9</v>
      </c>
    </row>
    <row r="302" spans="1:9" s="1" customFormat="1" ht="15" customHeight="1">
      <c r="A302" s="44"/>
      <c r="B302" s="45"/>
      <c r="C302" s="17">
        <v>2210</v>
      </c>
      <c r="D302" s="20">
        <f t="shared" si="178"/>
        <v>86.3</v>
      </c>
      <c r="E302" s="20">
        <f t="shared" ref="E302:G302" si="182">E315+E331</f>
        <v>86.2</v>
      </c>
      <c r="F302" s="20">
        <f t="shared" si="182"/>
        <v>60.8</v>
      </c>
      <c r="G302" s="20">
        <f t="shared" si="182"/>
        <v>60.8</v>
      </c>
      <c r="H302" s="20">
        <f t="shared" si="181"/>
        <v>147.1</v>
      </c>
      <c r="I302" s="30">
        <f t="shared" si="181"/>
        <v>147</v>
      </c>
    </row>
    <row r="303" spans="1:9" s="1" customFormat="1" ht="15" customHeight="1">
      <c r="A303" s="44"/>
      <c r="B303" s="45"/>
      <c r="C303" s="17">
        <v>2240</v>
      </c>
      <c r="D303" s="20">
        <f t="shared" si="178"/>
        <v>267.60000000000002</v>
      </c>
      <c r="E303" s="20">
        <f t="shared" ref="E303:G303" si="183">E316+E332</f>
        <v>259.8</v>
      </c>
      <c r="F303" s="20">
        <f t="shared" si="183"/>
        <v>5.4</v>
      </c>
      <c r="G303" s="20">
        <f t="shared" si="183"/>
        <v>5.4</v>
      </c>
      <c r="H303" s="20">
        <f t="shared" si="181"/>
        <v>273</v>
      </c>
      <c r="I303" s="30">
        <f t="shared" si="181"/>
        <v>265.2</v>
      </c>
    </row>
    <row r="304" spans="1:9" s="1" customFormat="1" ht="15" customHeight="1">
      <c r="A304" s="44"/>
      <c r="B304" s="45"/>
      <c r="C304" s="17">
        <v>2250</v>
      </c>
      <c r="D304" s="20">
        <f t="shared" si="178"/>
        <v>63.7</v>
      </c>
      <c r="E304" s="20">
        <f t="shared" ref="E304:G304" si="184">E317+E333</f>
        <v>63.7</v>
      </c>
      <c r="F304" s="20">
        <f t="shared" si="184"/>
        <v>47.7</v>
      </c>
      <c r="G304" s="20">
        <f t="shared" si="184"/>
        <v>47.7</v>
      </c>
      <c r="H304" s="20">
        <f t="shared" si="181"/>
        <v>111.4</v>
      </c>
      <c r="I304" s="30">
        <f t="shared" si="181"/>
        <v>111.4</v>
      </c>
    </row>
    <row r="305" spans="1:9" s="1" customFormat="1" ht="15" customHeight="1">
      <c r="A305" s="44"/>
      <c r="B305" s="45"/>
      <c r="C305" s="17">
        <v>2270</v>
      </c>
      <c r="D305" s="20">
        <f t="shared" si="178"/>
        <v>190.8</v>
      </c>
      <c r="E305" s="20">
        <f t="shared" ref="E305:G305" si="185">E318+E334</f>
        <v>175.8</v>
      </c>
      <c r="F305" s="20">
        <f t="shared" si="185"/>
        <v>2</v>
      </c>
      <c r="G305" s="20">
        <f t="shared" si="185"/>
        <v>2</v>
      </c>
      <c r="H305" s="20">
        <f t="shared" si="181"/>
        <v>192.8</v>
      </c>
      <c r="I305" s="30">
        <f t="shared" si="181"/>
        <v>177.8</v>
      </c>
    </row>
    <row r="306" spans="1:9" s="1" customFormat="1" ht="15" customHeight="1">
      <c r="A306" s="44"/>
      <c r="B306" s="45"/>
      <c r="C306" s="17">
        <v>2281</v>
      </c>
      <c r="D306" s="20">
        <f>D325+D335+D343</f>
        <v>210468.6</v>
      </c>
      <c r="E306" s="20">
        <f t="shared" ref="E306:G306" si="186">E325+E335+E343</f>
        <v>210018.2</v>
      </c>
      <c r="F306" s="20">
        <f t="shared" si="186"/>
        <v>33267.599999999999</v>
      </c>
      <c r="G306" s="20">
        <f t="shared" si="186"/>
        <v>33267.599999999999</v>
      </c>
      <c r="H306" s="20">
        <f t="shared" si="181"/>
        <v>243736.2</v>
      </c>
      <c r="I306" s="30">
        <f t="shared" si="181"/>
        <v>243285.80000000002</v>
      </c>
    </row>
    <row r="307" spans="1:9" s="1" customFormat="1" ht="15" customHeight="1">
      <c r="A307" s="44"/>
      <c r="B307" s="45"/>
      <c r="C307" s="17">
        <v>2282</v>
      </c>
      <c r="D307" s="20">
        <f>D319</f>
        <v>0</v>
      </c>
      <c r="E307" s="20">
        <f t="shared" ref="E307:G307" si="187">E319</f>
        <v>0</v>
      </c>
      <c r="F307" s="20">
        <f t="shared" si="187"/>
        <v>0</v>
      </c>
      <c r="G307" s="20">
        <f t="shared" si="187"/>
        <v>0</v>
      </c>
      <c r="H307" s="20">
        <f t="shared" ref="H307" si="188">D307+F307</f>
        <v>0</v>
      </c>
      <c r="I307" s="30">
        <f t="shared" ref="I307" si="189">E307+G307</f>
        <v>0</v>
      </c>
    </row>
    <row r="308" spans="1:9" s="1" customFormat="1" ht="15" customHeight="1">
      <c r="A308" s="44"/>
      <c r="B308" s="45"/>
      <c r="C308" s="17">
        <v>2600</v>
      </c>
      <c r="D308" s="20">
        <f>D322+D339+D347</f>
        <v>1296573.6000000001</v>
      </c>
      <c r="E308" s="20">
        <f t="shared" ref="E308:G308" si="190">E322+E339+E347</f>
        <v>1295867.8</v>
      </c>
      <c r="F308" s="20">
        <f t="shared" si="190"/>
        <v>191406.6</v>
      </c>
      <c r="G308" s="20">
        <f t="shared" si="190"/>
        <v>191404.79999999999</v>
      </c>
      <c r="H308" s="20">
        <f t="shared" si="181"/>
        <v>1487980.2000000002</v>
      </c>
      <c r="I308" s="30">
        <f t="shared" si="181"/>
        <v>1487272.6</v>
      </c>
    </row>
    <row r="309" spans="1:9" s="1" customFormat="1" ht="15" customHeight="1">
      <c r="A309" s="44"/>
      <c r="B309" s="45"/>
      <c r="C309" s="17">
        <v>3110</v>
      </c>
      <c r="D309" s="20">
        <f>D336+D326</f>
        <v>0</v>
      </c>
      <c r="E309" s="20">
        <f t="shared" ref="E309:G309" si="191">E336+E326</f>
        <v>0</v>
      </c>
      <c r="F309" s="20">
        <f t="shared" si="191"/>
        <v>6214.9</v>
      </c>
      <c r="G309" s="20">
        <f t="shared" si="191"/>
        <v>6214.9</v>
      </c>
      <c r="H309" s="20">
        <f t="shared" ref="H309" si="192">D309+F309</f>
        <v>6214.9</v>
      </c>
      <c r="I309" s="30">
        <f t="shared" ref="I309" si="193">E309+G309</f>
        <v>6214.9</v>
      </c>
    </row>
    <row r="310" spans="1:9" s="1" customFormat="1" ht="15" customHeight="1">
      <c r="A310" s="44"/>
      <c r="B310" s="45"/>
      <c r="C310" s="17">
        <v>3210</v>
      </c>
      <c r="D310" s="20">
        <f>D340+D344+D348</f>
        <v>77164</v>
      </c>
      <c r="E310" s="20">
        <f t="shared" ref="E310:G310" si="194">E340+E344+E348</f>
        <v>66292.5</v>
      </c>
      <c r="F310" s="20">
        <f t="shared" si="194"/>
        <v>34000</v>
      </c>
      <c r="G310" s="20">
        <f t="shared" si="194"/>
        <v>34000</v>
      </c>
      <c r="H310" s="20">
        <f t="shared" si="181"/>
        <v>111164</v>
      </c>
      <c r="I310" s="30">
        <f t="shared" si="181"/>
        <v>100292.5</v>
      </c>
    </row>
    <row r="311" spans="1:9" s="1" customFormat="1" ht="15" customHeight="1">
      <c r="A311" s="46"/>
      <c r="B311" s="47"/>
      <c r="C311" s="19" t="s">
        <v>10</v>
      </c>
      <c r="D311" s="20">
        <f>SUM(D300:D310)</f>
        <v>1592679.9000000001</v>
      </c>
      <c r="E311" s="20">
        <f t="shared" ref="E311:G311" si="195">SUM(E300:E310)</f>
        <v>1580616.8</v>
      </c>
      <c r="F311" s="20">
        <f t="shared" si="195"/>
        <v>265005</v>
      </c>
      <c r="G311" s="20">
        <f t="shared" si="195"/>
        <v>265003.19999999995</v>
      </c>
      <c r="H311" s="20">
        <f>D311+F311</f>
        <v>1857684.9000000001</v>
      </c>
      <c r="I311" s="30">
        <f>E311+G311</f>
        <v>1845620</v>
      </c>
    </row>
    <row r="312" spans="1:9" s="1" customFormat="1" ht="15" customHeight="1">
      <c r="A312" s="32">
        <v>2408010</v>
      </c>
      <c r="B312" s="35" t="s">
        <v>38</v>
      </c>
      <c r="C312" s="48" t="s">
        <v>39</v>
      </c>
      <c r="D312" s="49"/>
      <c r="E312" s="49"/>
      <c r="F312" s="49"/>
      <c r="G312" s="49"/>
      <c r="H312" s="49"/>
      <c r="I312" s="50"/>
    </row>
    <row r="313" spans="1:9" s="1" customFormat="1">
      <c r="A313" s="33"/>
      <c r="B313" s="36"/>
      <c r="C313" s="17">
        <v>2110</v>
      </c>
      <c r="D313" s="18">
        <v>3859</v>
      </c>
      <c r="E313" s="18">
        <v>3859</v>
      </c>
      <c r="F313" s="18"/>
      <c r="G313" s="18"/>
      <c r="H313" s="20">
        <f t="shared" ref="H313:I320" si="196">D313+F313</f>
        <v>3859</v>
      </c>
      <c r="I313" s="30">
        <f t="shared" si="196"/>
        <v>3859</v>
      </c>
    </row>
    <row r="314" spans="1:9" s="1" customFormat="1">
      <c r="A314" s="33"/>
      <c r="B314" s="36"/>
      <c r="C314" s="17">
        <v>2120</v>
      </c>
      <c r="D314" s="18">
        <v>1399</v>
      </c>
      <c r="E314" s="18">
        <v>1386.5</v>
      </c>
      <c r="F314" s="18"/>
      <c r="G314" s="18"/>
      <c r="H314" s="20">
        <f t="shared" si="196"/>
        <v>1399</v>
      </c>
      <c r="I314" s="30">
        <f t="shared" si="196"/>
        <v>1386.5</v>
      </c>
    </row>
    <row r="315" spans="1:9" s="1" customFormat="1">
      <c r="A315" s="33"/>
      <c r="B315" s="36"/>
      <c r="C315" s="17">
        <v>2210</v>
      </c>
      <c r="D315" s="18">
        <v>51.3</v>
      </c>
      <c r="E315" s="18">
        <v>51.2</v>
      </c>
      <c r="F315" s="18"/>
      <c r="G315" s="18"/>
      <c r="H315" s="20">
        <f t="shared" si="196"/>
        <v>51.3</v>
      </c>
      <c r="I315" s="30">
        <f t="shared" si="196"/>
        <v>51.2</v>
      </c>
    </row>
    <row r="316" spans="1:9" s="1" customFormat="1">
      <c r="A316" s="33"/>
      <c r="B316" s="36"/>
      <c r="C316" s="17">
        <v>2240</v>
      </c>
      <c r="D316" s="18">
        <v>34.700000000000003</v>
      </c>
      <c r="E316" s="18">
        <v>27.5</v>
      </c>
      <c r="F316" s="18"/>
      <c r="G316" s="18"/>
      <c r="H316" s="20">
        <f t="shared" si="196"/>
        <v>34.700000000000003</v>
      </c>
      <c r="I316" s="30">
        <f t="shared" si="196"/>
        <v>27.5</v>
      </c>
    </row>
    <row r="317" spans="1:9" s="1" customFormat="1">
      <c r="A317" s="33"/>
      <c r="B317" s="36"/>
      <c r="C317" s="17">
        <v>2250</v>
      </c>
      <c r="D317" s="18"/>
      <c r="E317" s="18"/>
      <c r="F317" s="18"/>
      <c r="G317" s="18"/>
      <c r="H317" s="20">
        <f t="shared" ref="H317" si="197">D317+F317</f>
        <v>0</v>
      </c>
      <c r="I317" s="30">
        <f t="shared" ref="I317" si="198">E317+G317</f>
        <v>0</v>
      </c>
    </row>
    <row r="318" spans="1:9" s="1" customFormat="1">
      <c r="A318" s="33"/>
      <c r="B318" s="36"/>
      <c r="C318" s="17">
        <v>2270</v>
      </c>
      <c r="D318" s="18">
        <v>98.9</v>
      </c>
      <c r="E318" s="18">
        <v>84.1</v>
      </c>
      <c r="F318" s="18"/>
      <c r="G318" s="18"/>
      <c r="H318" s="20">
        <f t="shared" si="196"/>
        <v>98.9</v>
      </c>
      <c r="I318" s="30">
        <f t="shared" si="196"/>
        <v>84.1</v>
      </c>
    </row>
    <row r="319" spans="1:9" s="1" customFormat="1">
      <c r="A319" s="33"/>
      <c r="B319" s="36"/>
      <c r="C319" s="17">
        <v>2282</v>
      </c>
      <c r="D319" s="18"/>
      <c r="E319" s="18"/>
      <c r="F319" s="18"/>
      <c r="G319" s="18"/>
      <c r="H319" s="20">
        <f t="shared" ref="H319" si="199">D319+F319</f>
        <v>0</v>
      </c>
      <c r="I319" s="30">
        <f t="shared" ref="I319" si="200">E319+G319</f>
        <v>0</v>
      </c>
    </row>
    <row r="320" spans="1:9" s="1" customFormat="1">
      <c r="A320" s="34"/>
      <c r="B320" s="37"/>
      <c r="C320" s="19" t="s">
        <v>10</v>
      </c>
      <c r="D320" s="20">
        <f>SUM(D313:D319)</f>
        <v>5442.9</v>
      </c>
      <c r="E320" s="20">
        <f t="shared" ref="E320:G320" si="201">SUM(E313:E319)</f>
        <v>5408.3</v>
      </c>
      <c r="F320" s="20">
        <f t="shared" si="201"/>
        <v>0</v>
      </c>
      <c r="G320" s="20">
        <f t="shared" si="201"/>
        <v>0</v>
      </c>
      <c r="H320" s="20">
        <f t="shared" si="196"/>
        <v>5442.9</v>
      </c>
      <c r="I320" s="30">
        <f t="shared" si="196"/>
        <v>5408.3</v>
      </c>
    </row>
    <row r="321" spans="1:9" s="1" customFormat="1">
      <c r="A321" s="38">
        <v>2408040</v>
      </c>
      <c r="B321" s="39" t="s">
        <v>38</v>
      </c>
      <c r="C321" s="48" t="s">
        <v>40</v>
      </c>
      <c r="D321" s="49"/>
      <c r="E321" s="49"/>
      <c r="F321" s="49"/>
      <c r="G321" s="49"/>
      <c r="H321" s="49"/>
      <c r="I321" s="50"/>
    </row>
    <row r="322" spans="1:9" s="1" customFormat="1">
      <c r="A322" s="38"/>
      <c r="B322" s="39"/>
      <c r="C322" s="17">
        <v>2600</v>
      </c>
      <c r="D322" s="18">
        <v>601800</v>
      </c>
      <c r="E322" s="18">
        <v>601168.4</v>
      </c>
      <c r="F322" s="18"/>
      <c r="G322" s="18"/>
      <c r="H322" s="20">
        <f>D322+F322</f>
        <v>601800</v>
      </c>
      <c r="I322" s="30">
        <f>E322+G322</f>
        <v>601168.4</v>
      </c>
    </row>
    <row r="323" spans="1:9" s="1" customFormat="1">
      <c r="A323" s="38"/>
      <c r="B323" s="39"/>
      <c r="C323" s="19" t="s">
        <v>10</v>
      </c>
      <c r="D323" s="20">
        <f>D322</f>
        <v>601800</v>
      </c>
      <c r="E323" s="20">
        <f t="shared" ref="E323:G323" si="202">E322</f>
        <v>601168.4</v>
      </c>
      <c r="F323" s="20">
        <f t="shared" si="202"/>
        <v>0</v>
      </c>
      <c r="G323" s="20">
        <f t="shared" si="202"/>
        <v>0</v>
      </c>
      <c r="H323" s="20">
        <f>D323+F323</f>
        <v>601800</v>
      </c>
      <c r="I323" s="30">
        <f>E323+G323</f>
        <v>601168.4</v>
      </c>
    </row>
    <row r="324" spans="1:9" s="1" customFormat="1">
      <c r="A324" s="32">
        <v>2408070</v>
      </c>
      <c r="B324" s="35" t="s">
        <v>38</v>
      </c>
      <c r="C324" s="48" t="s">
        <v>41</v>
      </c>
      <c r="D324" s="49"/>
      <c r="E324" s="49"/>
      <c r="F324" s="49"/>
      <c r="G324" s="49"/>
      <c r="H324" s="49"/>
      <c r="I324" s="50"/>
    </row>
    <row r="325" spans="1:9" s="1" customFormat="1">
      <c r="A325" s="33"/>
      <c r="B325" s="36"/>
      <c r="C325" s="17">
        <v>2281</v>
      </c>
      <c r="D325" s="18">
        <v>2014.1</v>
      </c>
      <c r="E325" s="18">
        <v>2002</v>
      </c>
      <c r="F325" s="18"/>
      <c r="G325" s="18"/>
      <c r="H325" s="20">
        <f t="shared" ref="H325:I327" si="203">D325+F325</f>
        <v>2014.1</v>
      </c>
      <c r="I325" s="30">
        <f t="shared" si="203"/>
        <v>2002</v>
      </c>
    </row>
    <row r="326" spans="1:9" s="1" customFormat="1">
      <c r="A326" s="33"/>
      <c r="B326" s="36"/>
      <c r="C326" s="17">
        <v>3110</v>
      </c>
      <c r="D326" s="18"/>
      <c r="E326" s="18"/>
      <c r="F326" s="18">
        <v>6180</v>
      </c>
      <c r="G326" s="18">
        <v>6180</v>
      </c>
      <c r="H326" s="20">
        <f t="shared" si="203"/>
        <v>6180</v>
      </c>
      <c r="I326" s="30">
        <f t="shared" si="203"/>
        <v>6180</v>
      </c>
    </row>
    <row r="327" spans="1:9" s="1" customFormat="1">
      <c r="A327" s="34"/>
      <c r="B327" s="37"/>
      <c r="C327" s="19" t="s">
        <v>10</v>
      </c>
      <c r="D327" s="20">
        <f>D325+D326</f>
        <v>2014.1</v>
      </c>
      <c r="E327" s="20">
        <f t="shared" ref="E327:G327" si="204">E325+E326</f>
        <v>2002</v>
      </c>
      <c r="F327" s="20">
        <f t="shared" si="204"/>
        <v>6180</v>
      </c>
      <c r="G327" s="20">
        <f t="shared" si="204"/>
        <v>6180</v>
      </c>
      <c r="H327" s="20">
        <f t="shared" si="203"/>
        <v>8194.1</v>
      </c>
      <c r="I327" s="30">
        <f t="shared" si="203"/>
        <v>8182</v>
      </c>
    </row>
    <row r="328" spans="1:9" s="1" customFormat="1">
      <c r="A328" s="32">
        <v>2408080</v>
      </c>
      <c r="B328" s="35" t="s">
        <v>14</v>
      </c>
      <c r="C328" s="48" t="s">
        <v>42</v>
      </c>
      <c r="D328" s="49"/>
      <c r="E328" s="49"/>
      <c r="F328" s="49"/>
      <c r="G328" s="49"/>
      <c r="H328" s="49"/>
      <c r="I328" s="50"/>
    </row>
    <row r="329" spans="1:9" s="1" customFormat="1">
      <c r="A329" s="33"/>
      <c r="B329" s="36"/>
      <c r="C329" s="17">
        <v>2110</v>
      </c>
      <c r="D329" s="18">
        <v>1912.9</v>
      </c>
      <c r="E329" s="18">
        <v>1912.9</v>
      </c>
      <c r="F329" s="18"/>
      <c r="G329" s="18"/>
      <c r="H329" s="20">
        <f t="shared" ref="H329:I337" si="205">D329+F329</f>
        <v>1912.9</v>
      </c>
      <c r="I329" s="30">
        <f t="shared" si="205"/>
        <v>1912.9</v>
      </c>
    </row>
    <row r="330" spans="1:9" s="1" customFormat="1">
      <c r="A330" s="33"/>
      <c r="B330" s="36"/>
      <c r="C330" s="17">
        <v>2120</v>
      </c>
      <c r="D330" s="18">
        <v>694.4</v>
      </c>
      <c r="E330" s="18">
        <v>694.4</v>
      </c>
      <c r="F330" s="18"/>
      <c r="G330" s="18"/>
      <c r="H330" s="20">
        <f t="shared" si="205"/>
        <v>694.4</v>
      </c>
      <c r="I330" s="30">
        <f t="shared" si="205"/>
        <v>694.4</v>
      </c>
    </row>
    <row r="331" spans="1:9" s="1" customFormat="1">
      <c r="A331" s="33"/>
      <c r="B331" s="36"/>
      <c r="C331" s="17">
        <v>2210</v>
      </c>
      <c r="D331" s="18">
        <v>35</v>
      </c>
      <c r="E331" s="18">
        <v>35</v>
      </c>
      <c r="F331" s="18">
        <f>60.8</f>
        <v>60.8</v>
      </c>
      <c r="G331" s="18">
        <f>60.8</f>
        <v>60.8</v>
      </c>
      <c r="H331" s="20">
        <f t="shared" si="205"/>
        <v>95.8</v>
      </c>
      <c r="I331" s="30">
        <f t="shared" si="205"/>
        <v>95.8</v>
      </c>
    </row>
    <row r="332" spans="1:9" s="1" customFormat="1">
      <c r="A332" s="33"/>
      <c r="B332" s="36"/>
      <c r="C332" s="17">
        <v>2240</v>
      </c>
      <c r="D332" s="18">
        <v>232.9</v>
      </c>
      <c r="E332" s="18">
        <v>232.3</v>
      </c>
      <c r="F332" s="18">
        <f>5.4</f>
        <v>5.4</v>
      </c>
      <c r="G332" s="18">
        <f>5.4</f>
        <v>5.4</v>
      </c>
      <c r="H332" s="20">
        <f t="shared" si="205"/>
        <v>238.3</v>
      </c>
      <c r="I332" s="30">
        <f t="shared" si="205"/>
        <v>237.70000000000002</v>
      </c>
    </row>
    <row r="333" spans="1:9" s="1" customFormat="1">
      <c r="A333" s="33"/>
      <c r="B333" s="36"/>
      <c r="C333" s="17">
        <v>2250</v>
      </c>
      <c r="D333" s="18">
        <v>63.7</v>
      </c>
      <c r="E333" s="18">
        <v>63.7</v>
      </c>
      <c r="F333" s="18">
        <f>47.7</f>
        <v>47.7</v>
      </c>
      <c r="G333" s="18">
        <f>47.7</f>
        <v>47.7</v>
      </c>
      <c r="H333" s="20">
        <f t="shared" si="205"/>
        <v>111.4</v>
      </c>
      <c r="I333" s="30">
        <f t="shared" si="205"/>
        <v>111.4</v>
      </c>
    </row>
    <row r="334" spans="1:9" s="1" customFormat="1">
      <c r="A334" s="33"/>
      <c r="B334" s="36"/>
      <c r="C334" s="17">
        <v>2270</v>
      </c>
      <c r="D334" s="18">
        <v>91.9</v>
      </c>
      <c r="E334" s="18">
        <v>91.7</v>
      </c>
      <c r="F334" s="18">
        <f>2</f>
        <v>2</v>
      </c>
      <c r="G334" s="18">
        <f>2</f>
        <v>2</v>
      </c>
      <c r="H334" s="20">
        <f t="shared" si="205"/>
        <v>93.9</v>
      </c>
      <c r="I334" s="30">
        <f t="shared" si="205"/>
        <v>93.7</v>
      </c>
    </row>
    <row r="335" spans="1:9" s="1" customFormat="1">
      <c r="A335" s="33"/>
      <c r="B335" s="36"/>
      <c r="C335" s="17">
        <v>2281</v>
      </c>
      <c r="D335" s="18">
        <v>437.9</v>
      </c>
      <c r="E335" s="18"/>
      <c r="F335" s="18"/>
      <c r="G335" s="18"/>
      <c r="H335" s="20">
        <f t="shared" ref="H335" si="206">D335+F335</f>
        <v>437.9</v>
      </c>
      <c r="I335" s="30">
        <f t="shared" ref="I335" si="207">E335+G335</f>
        <v>0</v>
      </c>
    </row>
    <row r="336" spans="1:9" s="1" customFormat="1">
      <c r="A336" s="33"/>
      <c r="B336" s="36"/>
      <c r="C336" s="17">
        <v>3110</v>
      </c>
      <c r="D336" s="18"/>
      <c r="E336" s="18"/>
      <c r="F336" s="18">
        <f>34.9</f>
        <v>34.9</v>
      </c>
      <c r="G336" s="18">
        <f>34.9</f>
        <v>34.9</v>
      </c>
      <c r="H336" s="20">
        <f t="shared" si="205"/>
        <v>34.9</v>
      </c>
      <c r="I336" s="30">
        <f t="shared" si="205"/>
        <v>34.9</v>
      </c>
    </row>
    <row r="337" spans="1:12" s="1" customFormat="1">
      <c r="A337" s="34"/>
      <c r="B337" s="37"/>
      <c r="C337" s="19" t="s">
        <v>10</v>
      </c>
      <c r="D337" s="20">
        <f>SUM(D329:D336)</f>
        <v>3468.7000000000003</v>
      </c>
      <c r="E337" s="20">
        <f t="shared" ref="E337:G337" si="208">SUM(E329:E336)</f>
        <v>3030</v>
      </c>
      <c r="F337" s="20">
        <f t="shared" si="208"/>
        <v>150.80000000000001</v>
      </c>
      <c r="G337" s="20">
        <f t="shared" si="208"/>
        <v>150.80000000000001</v>
      </c>
      <c r="H337" s="20">
        <f t="shared" si="205"/>
        <v>3619.5000000000005</v>
      </c>
      <c r="I337" s="30">
        <f t="shared" si="205"/>
        <v>3180.8</v>
      </c>
    </row>
    <row r="338" spans="1:12" s="1" customFormat="1" ht="31.5" customHeight="1">
      <c r="A338" s="38">
        <v>2408090</v>
      </c>
      <c r="B338" s="39" t="s">
        <v>43</v>
      </c>
      <c r="C338" s="48" t="s">
        <v>60</v>
      </c>
      <c r="D338" s="49"/>
      <c r="E338" s="49"/>
      <c r="F338" s="49"/>
      <c r="G338" s="49"/>
      <c r="H338" s="49"/>
      <c r="I338" s="50"/>
    </row>
    <row r="339" spans="1:12" s="1" customFormat="1">
      <c r="A339" s="38"/>
      <c r="B339" s="39"/>
      <c r="C339" s="17">
        <v>2600</v>
      </c>
      <c r="D339" s="18">
        <v>56049.4</v>
      </c>
      <c r="E339" s="18">
        <v>56013.5</v>
      </c>
      <c r="F339" s="18">
        <v>5976</v>
      </c>
      <c r="G339" s="18">
        <v>5975.9</v>
      </c>
      <c r="H339" s="20">
        <f>D339+F339</f>
        <v>62025.4</v>
      </c>
      <c r="I339" s="30">
        <f>E339+G339</f>
        <v>61989.4</v>
      </c>
    </row>
    <row r="340" spans="1:12" s="1" customFormat="1">
      <c r="A340" s="38"/>
      <c r="B340" s="39"/>
      <c r="C340" s="17">
        <v>3210</v>
      </c>
      <c r="D340" s="18">
        <v>5200</v>
      </c>
      <c r="E340" s="18">
        <v>5197.7</v>
      </c>
      <c r="F340" s="18"/>
      <c r="G340" s="18"/>
      <c r="H340" s="20">
        <f t="shared" ref="H340:H341" si="209">D340+F340</f>
        <v>5200</v>
      </c>
      <c r="I340" s="30">
        <f t="shared" ref="I340:I341" si="210">E340+G340</f>
        <v>5197.7</v>
      </c>
    </row>
    <row r="341" spans="1:12" s="1" customFormat="1">
      <c r="A341" s="38"/>
      <c r="B341" s="39"/>
      <c r="C341" s="19" t="s">
        <v>10</v>
      </c>
      <c r="D341" s="20">
        <f>SUM(D339:D340)</f>
        <v>61249.4</v>
      </c>
      <c r="E341" s="20">
        <f t="shared" ref="E341:G341" si="211">SUM(E339:E340)</f>
        <v>61211.199999999997</v>
      </c>
      <c r="F341" s="20">
        <f t="shared" si="211"/>
        <v>5976</v>
      </c>
      <c r="G341" s="20">
        <f t="shared" si="211"/>
        <v>5975.9</v>
      </c>
      <c r="H341" s="20">
        <f t="shared" si="209"/>
        <v>67225.399999999994</v>
      </c>
      <c r="I341" s="30">
        <f t="shared" si="210"/>
        <v>67187.099999999991</v>
      </c>
    </row>
    <row r="342" spans="1:12" s="1" customFormat="1">
      <c r="A342" s="38">
        <v>2408110</v>
      </c>
      <c r="B342" s="39" t="s">
        <v>38</v>
      </c>
      <c r="C342" s="48" t="s">
        <v>44</v>
      </c>
      <c r="D342" s="49"/>
      <c r="E342" s="49"/>
      <c r="F342" s="49"/>
      <c r="G342" s="49"/>
      <c r="H342" s="49"/>
      <c r="I342" s="50"/>
    </row>
    <row r="343" spans="1:12" s="1" customFormat="1">
      <c r="A343" s="38"/>
      <c r="B343" s="39"/>
      <c r="C343" s="17">
        <v>2281</v>
      </c>
      <c r="D343" s="18">
        <v>208016.6</v>
      </c>
      <c r="E343" s="18">
        <v>208016.2</v>
      </c>
      <c r="F343" s="18">
        <v>33267.599999999999</v>
      </c>
      <c r="G343" s="18">
        <v>33267.599999999999</v>
      </c>
      <c r="H343" s="20">
        <f t="shared" ref="H343:I345" si="212">D343+F343</f>
        <v>241284.2</v>
      </c>
      <c r="I343" s="30">
        <f t="shared" si="212"/>
        <v>241283.80000000002</v>
      </c>
    </row>
    <row r="344" spans="1:12" s="1" customFormat="1">
      <c r="A344" s="38"/>
      <c r="B344" s="39"/>
      <c r="C344" s="17">
        <v>3210</v>
      </c>
      <c r="D344" s="18">
        <v>1000</v>
      </c>
      <c r="E344" s="18">
        <v>1000</v>
      </c>
      <c r="F344" s="18"/>
      <c r="G344" s="18"/>
      <c r="H344" s="20">
        <f t="shared" si="212"/>
        <v>1000</v>
      </c>
      <c r="I344" s="30">
        <f t="shared" si="212"/>
        <v>1000</v>
      </c>
    </row>
    <row r="345" spans="1:12" s="1" customFormat="1">
      <c r="A345" s="38"/>
      <c r="B345" s="39"/>
      <c r="C345" s="19" t="s">
        <v>10</v>
      </c>
      <c r="D345" s="20">
        <f>SUM(D343:D344)</f>
        <v>209016.6</v>
      </c>
      <c r="E345" s="20">
        <f t="shared" ref="E345:G345" si="213">SUM(E343:E344)</f>
        <v>209016.2</v>
      </c>
      <c r="F345" s="20">
        <f t="shared" si="213"/>
        <v>33267.599999999999</v>
      </c>
      <c r="G345" s="20">
        <f t="shared" si="213"/>
        <v>33267.599999999999</v>
      </c>
      <c r="H345" s="20">
        <f t="shared" si="212"/>
        <v>242284.2</v>
      </c>
      <c r="I345" s="30">
        <f t="shared" si="212"/>
        <v>242283.80000000002</v>
      </c>
    </row>
    <row r="346" spans="1:12" s="1" customFormat="1" ht="31.5" customHeight="1">
      <c r="A346" s="38">
        <v>2408120</v>
      </c>
      <c r="B346" s="39" t="s">
        <v>38</v>
      </c>
      <c r="C346" s="48" t="s">
        <v>45</v>
      </c>
      <c r="D346" s="49"/>
      <c r="E346" s="49"/>
      <c r="F346" s="49"/>
      <c r="G346" s="49"/>
      <c r="H346" s="49"/>
      <c r="I346" s="50"/>
    </row>
    <row r="347" spans="1:12" s="1" customFormat="1">
      <c r="A347" s="38"/>
      <c r="B347" s="39"/>
      <c r="C347" s="17">
        <v>2600</v>
      </c>
      <c r="D347" s="18">
        <v>638724.19999999995</v>
      </c>
      <c r="E347" s="18">
        <v>638685.9</v>
      </c>
      <c r="F347" s="18">
        <v>185430.6</v>
      </c>
      <c r="G347" s="18">
        <v>185428.9</v>
      </c>
      <c r="H347" s="20">
        <f t="shared" ref="H347:I349" si="214">D347+F347</f>
        <v>824154.79999999993</v>
      </c>
      <c r="I347" s="30">
        <f t="shared" si="214"/>
        <v>824114.8</v>
      </c>
    </row>
    <row r="348" spans="1:12" s="1" customFormat="1">
      <c r="A348" s="38"/>
      <c r="B348" s="39"/>
      <c r="C348" s="17">
        <v>3210</v>
      </c>
      <c r="D348" s="18">
        <v>70964</v>
      </c>
      <c r="E348" s="18">
        <v>60094.8</v>
      </c>
      <c r="F348" s="18">
        <v>34000</v>
      </c>
      <c r="G348" s="18">
        <v>34000</v>
      </c>
      <c r="H348" s="20">
        <f t="shared" si="214"/>
        <v>104964</v>
      </c>
      <c r="I348" s="30">
        <f t="shared" si="214"/>
        <v>94094.8</v>
      </c>
    </row>
    <row r="349" spans="1:12" s="1" customFormat="1" ht="15.75" thickBot="1">
      <c r="A349" s="82"/>
      <c r="B349" s="83"/>
      <c r="C349" s="21" t="s">
        <v>10</v>
      </c>
      <c r="D349" s="22">
        <f>SUM(D347:D348)</f>
        <v>709688.2</v>
      </c>
      <c r="E349" s="22">
        <f t="shared" ref="E349:G349" si="215">SUM(E347:E348)</f>
        <v>698780.70000000007</v>
      </c>
      <c r="F349" s="22">
        <f t="shared" si="215"/>
        <v>219430.6</v>
      </c>
      <c r="G349" s="22">
        <f t="shared" si="215"/>
        <v>219428.9</v>
      </c>
      <c r="H349" s="22">
        <f t="shared" si="214"/>
        <v>929118.79999999993</v>
      </c>
      <c r="I349" s="31">
        <f t="shared" si="214"/>
        <v>918209.60000000009</v>
      </c>
    </row>
    <row r="350" spans="1:12" s="1" customFormat="1">
      <c r="C350" s="2"/>
      <c r="D350" s="14"/>
      <c r="E350" s="14"/>
      <c r="F350" s="14"/>
      <c r="G350" s="14"/>
      <c r="H350" s="14"/>
      <c r="I350" s="14"/>
    </row>
    <row r="351" spans="1:12" s="1" customFormat="1">
      <c r="A351" s="3"/>
      <c r="B351" s="3"/>
      <c r="C351" s="4"/>
      <c r="D351" s="15"/>
      <c r="E351" s="15"/>
      <c r="F351" s="14"/>
      <c r="G351" s="14"/>
      <c r="H351" s="14"/>
      <c r="I351" s="14"/>
    </row>
    <row r="352" spans="1:12" s="1" customFormat="1" ht="15" customHeight="1">
      <c r="A352" s="84" t="s">
        <v>46</v>
      </c>
      <c r="B352" s="84"/>
      <c r="C352" s="84"/>
      <c r="D352" s="84"/>
      <c r="E352" s="84"/>
      <c r="F352" s="14"/>
      <c r="G352" s="14"/>
      <c r="H352" s="85" t="s">
        <v>47</v>
      </c>
      <c r="I352" s="85"/>
      <c r="J352" s="5"/>
      <c r="K352" s="5"/>
      <c r="L352" s="5"/>
    </row>
    <row r="353" spans="1:9" s="1" customFormat="1">
      <c r="A353" s="3"/>
      <c r="B353" s="3"/>
      <c r="C353" s="4"/>
      <c r="D353" s="15"/>
      <c r="E353" s="15"/>
      <c r="F353" s="14"/>
      <c r="G353" s="14"/>
      <c r="H353" s="14"/>
      <c r="I353" s="14"/>
    </row>
    <row r="354" spans="1:9" s="1" customFormat="1">
      <c r="C354" s="2"/>
      <c r="D354" s="14"/>
      <c r="E354" s="14"/>
      <c r="F354" s="14"/>
      <c r="G354" s="14"/>
      <c r="H354" s="14"/>
      <c r="I354" s="14"/>
    </row>
    <row r="355" spans="1:9" s="1" customFormat="1">
      <c r="C355" s="2"/>
      <c r="D355" s="14"/>
      <c r="E355" s="14"/>
      <c r="F355" s="14"/>
      <c r="G355" s="14"/>
      <c r="H355" s="14"/>
      <c r="I355" s="14"/>
    </row>
    <row r="356" spans="1:9" s="1" customFormat="1">
      <c r="C356" s="2"/>
      <c r="D356" s="14"/>
      <c r="E356" s="14"/>
      <c r="F356" s="14"/>
      <c r="G356" s="14"/>
      <c r="H356" s="14"/>
      <c r="I356" s="14"/>
    </row>
    <row r="357" spans="1:9" s="1" customFormat="1">
      <c r="C357" s="2"/>
      <c r="D357" s="14"/>
      <c r="E357" s="14"/>
      <c r="F357" s="14"/>
      <c r="G357" s="14"/>
      <c r="H357" s="14"/>
      <c r="I357" s="14"/>
    </row>
    <row r="358" spans="1:9" s="1" customFormat="1">
      <c r="C358" s="2"/>
      <c r="D358" s="14"/>
      <c r="E358" s="14"/>
      <c r="F358" s="14"/>
      <c r="G358" s="14"/>
      <c r="H358" s="14"/>
      <c r="I358" s="14"/>
    </row>
    <row r="359" spans="1:9" s="1" customFormat="1">
      <c r="C359" s="2"/>
      <c r="D359" s="14"/>
      <c r="E359" s="14"/>
      <c r="F359" s="14"/>
      <c r="G359" s="14"/>
      <c r="H359" s="14"/>
      <c r="I359" s="14"/>
    </row>
    <row r="360" spans="1:9" s="1" customFormat="1">
      <c r="C360" s="2"/>
      <c r="D360" s="14"/>
      <c r="E360" s="14"/>
      <c r="F360" s="14"/>
      <c r="G360" s="14"/>
      <c r="H360" s="14"/>
      <c r="I360" s="14"/>
    </row>
    <row r="361" spans="1:9" s="1" customFormat="1">
      <c r="C361" s="2"/>
      <c r="D361" s="14"/>
      <c r="E361" s="14"/>
      <c r="F361" s="14"/>
      <c r="G361" s="14"/>
      <c r="H361" s="14"/>
      <c r="I361" s="14"/>
    </row>
    <row r="362" spans="1:9" s="1" customFormat="1">
      <c r="C362" s="2"/>
      <c r="D362" s="14"/>
      <c r="E362" s="14"/>
      <c r="F362" s="14"/>
      <c r="G362" s="14"/>
      <c r="H362" s="14"/>
      <c r="I362" s="14"/>
    </row>
    <row r="363" spans="1:9" s="1" customFormat="1">
      <c r="C363" s="2"/>
      <c r="D363" s="14"/>
      <c r="E363" s="14"/>
      <c r="F363" s="14"/>
      <c r="G363" s="14"/>
      <c r="H363" s="14"/>
      <c r="I363" s="14"/>
    </row>
    <row r="364" spans="1:9" s="1" customFormat="1">
      <c r="C364" s="2"/>
      <c r="D364" s="14"/>
      <c r="E364" s="14"/>
      <c r="F364" s="14"/>
      <c r="G364" s="14"/>
      <c r="H364" s="14"/>
      <c r="I364" s="14"/>
    </row>
    <row r="365" spans="1:9" s="1" customFormat="1">
      <c r="C365" s="2"/>
      <c r="D365" s="14"/>
      <c r="E365" s="14"/>
      <c r="F365" s="14"/>
      <c r="G365" s="14"/>
      <c r="H365" s="14"/>
      <c r="I365" s="14"/>
    </row>
    <row r="366" spans="1:9" s="1" customFormat="1">
      <c r="C366" s="2"/>
      <c r="D366" s="14"/>
      <c r="E366" s="14"/>
      <c r="F366" s="14"/>
      <c r="G366" s="14"/>
      <c r="H366" s="14"/>
      <c r="I366" s="14"/>
    </row>
    <row r="367" spans="1:9" s="1" customFormat="1">
      <c r="C367" s="2"/>
      <c r="D367" s="14"/>
      <c r="E367" s="14"/>
      <c r="F367" s="14"/>
      <c r="G367" s="14"/>
      <c r="H367" s="14"/>
      <c r="I367" s="14"/>
    </row>
    <row r="368" spans="1:9" s="1" customFormat="1">
      <c r="C368" s="2"/>
      <c r="D368" s="14"/>
      <c r="E368" s="14"/>
      <c r="F368" s="14"/>
      <c r="G368" s="14"/>
      <c r="H368" s="14"/>
      <c r="I368" s="14"/>
    </row>
    <row r="369" spans="3:9" s="1" customFormat="1">
      <c r="C369" s="2"/>
      <c r="D369" s="14"/>
      <c r="E369" s="14"/>
      <c r="F369" s="14"/>
      <c r="G369" s="14"/>
      <c r="H369" s="14"/>
      <c r="I369" s="14"/>
    </row>
    <row r="370" spans="3:9" s="1" customFormat="1">
      <c r="C370" s="2"/>
      <c r="D370" s="14"/>
      <c r="E370" s="14"/>
      <c r="F370" s="14"/>
      <c r="G370" s="14"/>
      <c r="H370" s="14"/>
      <c r="I370" s="14"/>
    </row>
    <row r="371" spans="3:9" s="1" customFormat="1">
      <c r="C371" s="2"/>
      <c r="D371" s="14"/>
      <c r="E371" s="14"/>
      <c r="F371" s="14"/>
      <c r="G371" s="14"/>
      <c r="H371" s="14"/>
      <c r="I371" s="14"/>
    </row>
    <row r="372" spans="3:9" s="1" customFormat="1">
      <c r="C372" s="2"/>
      <c r="D372" s="14"/>
      <c r="E372" s="14"/>
      <c r="F372" s="14"/>
      <c r="G372" s="14"/>
      <c r="H372" s="14"/>
      <c r="I372" s="14"/>
    </row>
    <row r="373" spans="3:9" s="1" customFormat="1">
      <c r="C373" s="2"/>
      <c r="D373" s="14"/>
      <c r="E373" s="14"/>
      <c r="F373" s="14"/>
      <c r="G373" s="14"/>
      <c r="H373" s="14"/>
      <c r="I373" s="14"/>
    </row>
    <row r="374" spans="3:9" s="1" customFormat="1">
      <c r="C374" s="2"/>
      <c r="D374" s="14"/>
      <c r="E374" s="14"/>
      <c r="F374" s="14"/>
      <c r="G374" s="14"/>
      <c r="H374" s="14"/>
      <c r="I374" s="14"/>
    </row>
    <row r="375" spans="3:9" s="1" customFormat="1">
      <c r="C375" s="2"/>
      <c r="D375" s="14"/>
      <c r="E375" s="14"/>
      <c r="F375" s="14"/>
      <c r="G375" s="14"/>
      <c r="H375" s="14"/>
      <c r="I375" s="14"/>
    </row>
    <row r="376" spans="3:9" s="1" customFormat="1">
      <c r="C376" s="2"/>
      <c r="D376" s="14"/>
      <c r="E376" s="14"/>
      <c r="F376" s="14"/>
      <c r="G376" s="14"/>
      <c r="H376" s="14"/>
      <c r="I376" s="14"/>
    </row>
    <row r="377" spans="3:9" s="1" customFormat="1">
      <c r="C377" s="2"/>
      <c r="D377" s="14"/>
      <c r="E377" s="14"/>
      <c r="F377" s="14"/>
      <c r="G377" s="14"/>
      <c r="H377" s="14"/>
      <c r="I377" s="14"/>
    </row>
    <row r="378" spans="3:9" s="1" customFormat="1">
      <c r="C378" s="2"/>
      <c r="D378" s="14"/>
      <c r="E378" s="14"/>
      <c r="F378" s="14"/>
      <c r="G378" s="14"/>
      <c r="H378" s="14"/>
      <c r="I378" s="14"/>
    </row>
    <row r="379" spans="3:9" s="1" customFormat="1">
      <c r="C379" s="2"/>
      <c r="D379" s="14"/>
      <c r="E379" s="14"/>
      <c r="F379" s="14"/>
      <c r="G379" s="14"/>
      <c r="H379" s="14"/>
      <c r="I379" s="14"/>
    </row>
    <row r="380" spans="3:9" s="1" customFormat="1">
      <c r="C380" s="2"/>
      <c r="D380" s="14"/>
      <c r="E380" s="14"/>
      <c r="F380" s="14"/>
      <c r="G380" s="14"/>
      <c r="H380" s="14"/>
      <c r="I380" s="14"/>
    </row>
    <row r="381" spans="3:9" s="1" customFormat="1">
      <c r="C381" s="2"/>
      <c r="D381" s="14"/>
      <c r="E381" s="14"/>
      <c r="F381" s="14"/>
      <c r="G381" s="14"/>
      <c r="H381" s="14"/>
      <c r="I381" s="14"/>
    </row>
    <row r="382" spans="3:9" s="1" customFormat="1">
      <c r="C382" s="2"/>
      <c r="D382" s="14"/>
      <c r="E382" s="14"/>
      <c r="F382" s="14"/>
      <c r="G382" s="14"/>
      <c r="H382" s="14"/>
      <c r="I382" s="14"/>
    </row>
    <row r="383" spans="3:9" s="1" customFormat="1">
      <c r="C383" s="2"/>
      <c r="D383" s="14"/>
      <c r="E383" s="14"/>
      <c r="F383" s="14"/>
      <c r="G383" s="14"/>
      <c r="H383" s="14"/>
      <c r="I383" s="14"/>
    </row>
    <row r="384" spans="3:9" s="1" customFormat="1">
      <c r="C384" s="2"/>
      <c r="D384" s="14"/>
      <c r="E384" s="14"/>
      <c r="F384" s="14"/>
      <c r="G384" s="14"/>
      <c r="H384" s="14"/>
      <c r="I384" s="14"/>
    </row>
    <row r="385" spans="3:9" s="1" customFormat="1">
      <c r="C385" s="2"/>
      <c r="D385" s="14"/>
      <c r="E385" s="14"/>
      <c r="F385" s="14"/>
      <c r="G385" s="14"/>
      <c r="H385" s="14"/>
      <c r="I385" s="14"/>
    </row>
    <row r="386" spans="3:9" s="1" customFormat="1">
      <c r="C386" s="2"/>
      <c r="D386" s="14"/>
      <c r="E386" s="14"/>
      <c r="F386" s="14"/>
      <c r="G386" s="14"/>
      <c r="H386" s="14"/>
      <c r="I386" s="14"/>
    </row>
    <row r="387" spans="3:9" s="1" customFormat="1">
      <c r="C387" s="2"/>
      <c r="D387" s="14"/>
      <c r="E387" s="14"/>
      <c r="F387" s="14"/>
      <c r="G387" s="14"/>
      <c r="H387" s="14"/>
      <c r="I387" s="14"/>
    </row>
    <row r="388" spans="3:9" s="1" customFormat="1">
      <c r="C388" s="2"/>
      <c r="D388" s="14"/>
      <c r="E388" s="14"/>
      <c r="F388" s="14"/>
      <c r="G388" s="14"/>
      <c r="H388" s="14"/>
      <c r="I388" s="14"/>
    </row>
    <row r="389" spans="3:9" s="1" customFormat="1">
      <c r="C389" s="2"/>
      <c r="D389" s="14"/>
      <c r="E389" s="14"/>
      <c r="F389" s="14"/>
      <c r="G389" s="14"/>
      <c r="H389" s="14"/>
      <c r="I389" s="14"/>
    </row>
    <row r="390" spans="3:9" s="1" customFormat="1">
      <c r="C390" s="2"/>
      <c r="D390" s="14"/>
      <c r="E390" s="14"/>
      <c r="F390" s="14"/>
      <c r="G390" s="14"/>
      <c r="H390" s="14"/>
      <c r="I390" s="14"/>
    </row>
    <row r="391" spans="3:9" s="1" customFormat="1">
      <c r="C391" s="2"/>
      <c r="D391" s="14"/>
      <c r="E391" s="14"/>
      <c r="F391" s="14"/>
      <c r="G391" s="14"/>
      <c r="H391" s="14"/>
      <c r="I391" s="14"/>
    </row>
    <row r="392" spans="3:9" s="1" customFormat="1">
      <c r="C392" s="2"/>
      <c r="D392" s="14"/>
      <c r="E392" s="14"/>
      <c r="F392" s="14"/>
      <c r="G392" s="14"/>
      <c r="H392" s="14"/>
      <c r="I392" s="14"/>
    </row>
    <row r="393" spans="3:9" s="1" customFormat="1">
      <c r="C393" s="2"/>
      <c r="D393" s="14"/>
      <c r="E393" s="14"/>
      <c r="F393" s="14"/>
      <c r="G393" s="14"/>
      <c r="H393" s="14"/>
      <c r="I393" s="14"/>
    </row>
    <row r="394" spans="3:9" s="1" customFormat="1">
      <c r="C394" s="2"/>
      <c r="D394" s="14"/>
      <c r="E394" s="14"/>
      <c r="F394" s="14"/>
      <c r="G394" s="14"/>
      <c r="H394" s="14"/>
      <c r="I394" s="14"/>
    </row>
    <row r="395" spans="3:9" s="1" customFormat="1">
      <c r="C395" s="2"/>
      <c r="D395" s="14"/>
      <c r="E395" s="14"/>
      <c r="F395" s="14"/>
      <c r="G395" s="14"/>
      <c r="H395" s="14"/>
      <c r="I395" s="14"/>
    </row>
    <row r="396" spans="3:9" s="1" customFormat="1">
      <c r="C396" s="2"/>
      <c r="D396" s="14"/>
      <c r="E396" s="14"/>
      <c r="F396" s="14"/>
      <c r="G396" s="14"/>
      <c r="H396" s="14"/>
      <c r="I396" s="14"/>
    </row>
    <row r="397" spans="3:9" s="1" customFormat="1">
      <c r="C397" s="2"/>
      <c r="D397" s="14"/>
      <c r="E397" s="14"/>
      <c r="F397" s="14"/>
      <c r="G397" s="14"/>
      <c r="H397" s="14"/>
      <c r="I397" s="14"/>
    </row>
    <row r="398" spans="3:9" s="1" customFormat="1">
      <c r="C398" s="2"/>
      <c r="D398" s="14"/>
      <c r="E398" s="14"/>
      <c r="F398" s="14"/>
      <c r="G398" s="14"/>
      <c r="H398" s="14"/>
      <c r="I398" s="14"/>
    </row>
    <row r="399" spans="3:9" s="1" customFormat="1">
      <c r="C399" s="2"/>
      <c r="D399" s="14"/>
      <c r="E399" s="14"/>
      <c r="F399" s="14"/>
      <c r="G399" s="14"/>
      <c r="H399" s="14"/>
      <c r="I399" s="14"/>
    </row>
    <row r="400" spans="3:9" s="1" customFormat="1">
      <c r="C400" s="2"/>
      <c r="D400" s="14"/>
      <c r="E400" s="14"/>
      <c r="F400" s="14"/>
      <c r="G400" s="14"/>
      <c r="H400" s="14"/>
      <c r="I400" s="14"/>
    </row>
    <row r="401" spans="3:9" s="1" customFormat="1">
      <c r="C401" s="2"/>
      <c r="D401" s="14"/>
      <c r="E401" s="14"/>
      <c r="F401" s="14"/>
      <c r="G401" s="14"/>
      <c r="H401" s="14"/>
      <c r="I401" s="14"/>
    </row>
    <row r="402" spans="3:9" s="1" customFormat="1">
      <c r="C402" s="2"/>
      <c r="D402" s="14"/>
      <c r="E402" s="14"/>
      <c r="F402" s="14"/>
      <c r="G402" s="14"/>
      <c r="H402" s="14"/>
      <c r="I402" s="14"/>
    </row>
    <row r="403" spans="3:9" s="1" customFormat="1">
      <c r="C403" s="2"/>
      <c r="D403" s="14"/>
      <c r="E403" s="14"/>
      <c r="F403" s="14"/>
      <c r="G403" s="14"/>
      <c r="H403" s="14"/>
      <c r="I403" s="14"/>
    </row>
    <row r="404" spans="3:9" s="1" customFormat="1">
      <c r="C404" s="2"/>
      <c r="D404" s="14"/>
      <c r="E404" s="14"/>
      <c r="F404" s="14"/>
      <c r="G404" s="14"/>
      <c r="H404" s="14"/>
      <c r="I404" s="14"/>
    </row>
    <row r="405" spans="3:9" s="1" customFormat="1">
      <c r="C405" s="2"/>
      <c r="D405" s="14"/>
      <c r="E405" s="14"/>
      <c r="F405" s="14"/>
      <c r="G405" s="14"/>
      <c r="H405" s="14"/>
      <c r="I405" s="14"/>
    </row>
    <row r="406" spans="3:9" s="1" customFormat="1">
      <c r="C406" s="2"/>
      <c r="D406" s="14"/>
      <c r="E406" s="14"/>
      <c r="F406" s="14"/>
      <c r="G406" s="14"/>
      <c r="H406" s="14"/>
      <c r="I406" s="14"/>
    </row>
    <row r="407" spans="3:9" s="1" customFormat="1">
      <c r="C407" s="2"/>
      <c r="D407" s="14"/>
      <c r="E407" s="14"/>
      <c r="F407" s="14"/>
      <c r="G407" s="14"/>
      <c r="H407" s="14"/>
      <c r="I407" s="14"/>
    </row>
    <row r="408" spans="3:9" s="1" customFormat="1">
      <c r="C408" s="2"/>
      <c r="D408" s="14"/>
      <c r="E408" s="14"/>
      <c r="F408" s="14"/>
      <c r="G408" s="14"/>
      <c r="H408" s="14"/>
      <c r="I408" s="14"/>
    </row>
    <row r="409" spans="3:9" s="1" customFormat="1">
      <c r="C409" s="2"/>
      <c r="D409" s="14"/>
      <c r="E409" s="14"/>
      <c r="F409" s="14"/>
      <c r="G409" s="14"/>
      <c r="H409" s="14"/>
      <c r="I409" s="14"/>
    </row>
    <row r="410" spans="3:9" s="1" customFormat="1">
      <c r="C410" s="2"/>
      <c r="D410" s="14"/>
      <c r="E410" s="14"/>
      <c r="F410" s="14"/>
      <c r="G410" s="14"/>
      <c r="H410" s="14"/>
      <c r="I410" s="14"/>
    </row>
    <row r="411" spans="3:9" s="1" customFormat="1">
      <c r="C411" s="2"/>
      <c r="D411" s="14"/>
      <c r="E411" s="14"/>
      <c r="F411" s="14"/>
      <c r="G411" s="14"/>
      <c r="H411" s="14"/>
      <c r="I411" s="14"/>
    </row>
    <row r="412" spans="3:9" s="1" customFormat="1">
      <c r="C412" s="2"/>
      <c r="D412" s="14"/>
      <c r="E412" s="14"/>
      <c r="F412" s="14"/>
      <c r="G412" s="14"/>
      <c r="H412" s="14"/>
      <c r="I412" s="14"/>
    </row>
    <row r="413" spans="3:9" s="1" customFormat="1">
      <c r="C413" s="2"/>
      <c r="D413" s="14"/>
      <c r="E413" s="14"/>
      <c r="F413" s="14"/>
      <c r="G413" s="14"/>
      <c r="H413" s="14"/>
      <c r="I413" s="14"/>
    </row>
    <row r="414" spans="3:9" s="1" customFormat="1">
      <c r="C414" s="2"/>
      <c r="D414" s="14"/>
      <c r="E414" s="14"/>
      <c r="F414" s="14"/>
      <c r="G414" s="14"/>
      <c r="H414" s="14"/>
      <c r="I414" s="14"/>
    </row>
    <row r="415" spans="3:9" s="1" customFormat="1">
      <c r="C415" s="2"/>
      <c r="D415" s="14"/>
      <c r="E415" s="14"/>
      <c r="F415" s="14"/>
      <c r="G415" s="14"/>
      <c r="H415" s="14"/>
      <c r="I415" s="14"/>
    </row>
    <row r="416" spans="3:9" s="1" customFormat="1">
      <c r="C416" s="2"/>
      <c r="D416" s="14"/>
      <c r="E416" s="14"/>
      <c r="F416" s="14"/>
      <c r="G416" s="14"/>
      <c r="H416" s="14"/>
      <c r="I416" s="14"/>
    </row>
    <row r="417" spans="3:9" s="1" customFormat="1">
      <c r="C417" s="2"/>
      <c r="D417" s="14"/>
      <c r="E417" s="14"/>
      <c r="F417" s="14"/>
      <c r="G417" s="14"/>
      <c r="H417" s="14"/>
      <c r="I417" s="14"/>
    </row>
    <row r="418" spans="3:9" s="1" customFormat="1">
      <c r="C418" s="2"/>
      <c r="D418" s="14"/>
      <c r="E418" s="14"/>
      <c r="F418" s="14"/>
      <c r="G418" s="14"/>
      <c r="H418" s="14"/>
      <c r="I418" s="14"/>
    </row>
    <row r="419" spans="3:9" s="1" customFormat="1">
      <c r="C419" s="2"/>
      <c r="D419" s="14"/>
      <c r="E419" s="14"/>
      <c r="F419" s="14"/>
      <c r="G419" s="14"/>
      <c r="H419" s="14"/>
      <c r="I419" s="14"/>
    </row>
    <row r="420" spans="3:9" s="1" customFormat="1">
      <c r="C420" s="2"/>
      <c r="D420" s="14"/>
      <c r="E420" s="14"/>
      <c r="F420" s="14"/>
      <c r="G420" s="14"/>
      <c r="H420" s="14"/>
      <c r="I420" s="14"/>
    </row>
    <row r="421" spans="3:9" s="1" customFormat="1">
      <c r="C421" s="2"/>
      <c r="D421" s="14"/>
      <c r="E421" s="14"/>
      <c r="F421" s="14"/>
      <c r="G421" s="14"/>
      <c r="H421" s="14"/>
      <c r="I421" s="14"/>
    </row>
    <row r="422" spans="3:9" s="1" customFormat="1">
      <c r="C422" s="2"/>
      <c r="D422" s="14"/>
      <c r="E422" s="14"/>
      <c r="F422" s="14"/>
      <c r="G422" s="14"/>
      <c r="H422" s="14"/>
      <c r="I422" s="14"/>
    </row>
    <row r="423" spans="3:9" s="1" customFormat="1">
      <c r="C423" s="2"/>
      <c r="D423" s="14"/>
      <c r="E423" s="14"/>
      <c r="F423" s="14"/>
      <c r="G423" s="14"/>
      <c r="H423" s="14"/>
      <c r="I423" s="14"/>
    </row>
    <row r="424" spans="3:9" s="1" customFormat="1">
      <c r="C424" s="2"/>
      <c r="D424" s="14"/>
      <c r="E424" s="14"/>
      <c r="F424" s="14"/>
      <c r="G424" s="14"/>
      <c r="H424" s="14"/>
      <c r="I424" s="14"/>
    </row>
    <row r="425" spans="3:9" s="1" customFormat="1">
      <c r="C425" s="2"/>
      <c r="D425" s="14"/>
      <c r="E425" s="14"/>
      <c r="F425" s="14"/>
      <c r="G425" s="14"/>
      <c r="H425" s="14"/>
      <c r="I425" s="14"/>
    </row>
    <row r="426" spans="3:9" s="1" customFormat="1">
      <c r="C426" s="2"/>
      <c r="D426" s="14"/>
      <c r="E426" s="14"/>
      <c r="F426" s="14"/>
      <c r="G426" s="14"/>
      <c r="H426" s="14"/>
      <c r="I426" s="14"/>
    </row>
    <row r="427" spans="3:9" s="1" customFormat="1">
      <c r="C427" s="2"/>
      <c r="D427" s="14"/>
      <c r="E427" s="14"/>
      <c r="F427" s="14"/>
      <c r="G427" s="14"/>
      <c r="H427" s="14"/>
      <c r="I427" s="14"/>
    </row>
    <row r="428" spans="3:9" s="1" customFormat="1">
      <c r="C428" s="2"/>
      <c r="D428" s="14"/>
      <c r="E428" s="14"/>
      <c r="F428" s="14"/>
      <c r="G428" s="14"/>
      <c r="H428" s="14"/>
      <c r="I428" s="14"/>
    </row>
    <row r="429" spans="3:9" s="1" customFormat="1">
      <c r="C429" s="2"/>
      <c r="D429" s="14"/>
      <c r="E429" s="14"/>
      <c r="F429" s="14"/>
      <c r="G429" s="14"/>
      <c r="H429" s="14"/>
      <c r="I429" s="14"/>
    </row>
    <row r="430" spans="3:9" s="1" customFormat="1">
      <c r="C430" s="2"/>
      <c r="D430" s="14"/>
      <c r="E430" s="14"/>
      <c r="F430" s="14"/>
      <c r="G430" s="14"/>
      <c r="H430" s="14"/>
      <c r="I430" s="14"/>
    </row>
    <row r="431" spans="3:9" s="1" customFormat="1">
      <c r="C431" s="2"/>
      <c r="D431" s="14"/>
      <c r="E431" s="14"/>
      <c r="F431" s="14"/>
      <c r="G431" s="14"/>
      <c r="H431" s="14"/>
      <c r="I431" s="14"/>
    </row>
    <row r="432" spans="3:9" s="1" customFormat="1">
      <c r="C432" s="2"/>
      <c r="D432" s="14"/>
      <c r="E432" s="14"/>
      <c r="F432" s="14"/>
      <c r="G432" s="14"/>
      <c r="H432" s="14"/>
      <c r="I432" s="14"/>
    </row>
    <row r="433" spans="3:9" s="1" customFormat="1">
      <c r="C433" s="2"/>
      <c r="D433" s="14"/>
      <c r="E433" s="14"/>
      <c r="F433" s="14"/>
      <c r="G433" s="14"/>
      <c r="H433" s="14"/>
      <c r="I433" s="14"/>
    </row>
    <row r="434" spans="3:9" s="1" customFormat="1">
      <c r="C434" s="2"/>
      <c r="D434" s="14"/>
      <c r="E434" s="14"/>
      <c r="F434" s="14"/>
      <c r="G434" s="14"/>
      <c r="H434" s="14"/>
      <c r="I434" s="14"/>
    </row>
    <row r="435" spans="3:9" s="1" customFormat="1">
      <c r="C435" s="2"/>
      <c r="D435" s="14"/>
      <c r="E435" s="14"/>
      <c r="F435" s="14"/>
      <c r="G435" s="14"/>
      <c r="H435" s="14"/>
      <c r="I435" s="14"/>
    </row>
    <row r="436" spans="3:9" s="1" customFormat="1">
      <c r="C436" s="2"/>
      <c r="D436" s="14"/>
      <c r="E436" s="14"/>
      <c r="F436" s="14"/>
      <c r="G436" s="14"/>
      <c r="H436" s="14"/>
      <c r="I436" s="14"/>
    </row>
    <row r="437" spans="3:9" s="1" customFormat="1">
      <c r="C437" s="2"/>
      <c r="D437" s="14"/>
      <c r="E437" s="14"/>
      <c r="F437" s="14"/>
      <c r="G437" s="14"/>
      <c r="H437" s="14"/>
      <c r="I437" s="14"/>
    </row>
    <row r="438" spans="3:9" s="1" customFormat="1">
      <c r="C438" s="2"/>
      <c r="D438" s="14"/>
      <c r="E438" s="14"/>
      <c r="F438" s="14"/>
      <c r="G438" s="14"/>
      <c r="H438" s="14"/>
      <c r="I438" s="14"/>
    </row>
    <row r="439" spans="3:9" s="1" customFormat="1">
      <c r="C439" s="2"/>
      <c r="D439" s="14"/>
      <c r="E439" s="14"/>
      <c r="F439" s="14"/>
      <c r="G439" s="14"/>
      <c r="H439" s="14"/>
      <c r="I439" s="14"/>
    </row>
    <row r="440" spans="3:9" s="1" customFormat="1">
      <c r="C440" s="2"/>
      <c r="D440" s="14"/>
      <c r="E440" s="14"/>
      <c r="F440" s="14"/>
      <c r="G440" s="14"/>
      <c r="H440" s="14"/>
      <c r="I440" s="14"/>
    </row>
    <row r="441" spans="3:9" s="1" customFormat="1">
      <c r="C441" s="2"/>
      <c r="D441" s="14"/>
      <c r="E441" s="14"/>
      <c r="F441" s="14"/>
      <c r="G441" s="14"/>
      <c r="H441" s="14"/>
      <c r="I441" s="14"/>
    </row>
    <row r="442" spans="3:9" s="1" customFormat="1">
      <c r="C442" s="2"/>
      <c r="D442" s="14"/>
      <c r="E442" s="14"/>
      <c r="F442" s="14"/>
      <c r="G442" s="14"/>
      <c r="H442" s="14"/>
      <c r="I442" s="14"/>
    </row>
    <row r="443" spans="3:9" s="1" customFormat="1">
      <c r="C443" s="2"/>
      <c r="D443" s="14"/>
      <c r="E443" s="14"/>
      <c r="F443" s="14"/>
      <c r="G443" s="14"/>
      <c r="H443" s="14"/>
      <c r="I443" s="14"/>
    </row>
    <row r="444" spans="3:9" s="1" customFormat="1">
      <c r="C444" s="2"/>
      <c r="D444" s="14"/>
      <c r="E444" s="14"/>
      <c r="F444" s="14"/>
      <c r="G444" s="14"/>
      <c r="H444" s="14"/>
      <c r="I444" s="14"/>
    </row>
    <row r="445" spans="3:9" s="1" customFormat="1">
      <c r="C445" s="2"/>
      <c r="D445" s="14"/>
      <c r="E445" s="14"/>
      <c r="F445" s="14"/>
      <c r="G445" s="14"/>
      <c r="H445" s="14"/>
      <c r="I445" s="14"/>
    </row>
    <row r="446" spans="3:9" s="1" customFormat="1">
      <c r="C446" s="2"/>
      <c r="D446" s="14"/>
      <c r="E446" s="14"/>
      <c r="F446" s="14"/>
      <c r="G446" s="14"/>
      <c r="H446" s="14"/>
      <c r="I446" s="14"/>
    </row>
    <row r="447" spans="3:9" s="1" customFormat="1">
      <c r="C447" s="2"/>
      <c r="D447" s="14"/>
      <c r="E447" s="14"/>
      <c r="F447" s="14"/>
      <c r="G447" s="14"/>
      <c r="H447" s="14"/>
      <c r="I447" s="14"/>
    </row>
    <row r="448" spans="3:9" s="1" customFormat="1">
      <c r="C448" s="2"/>
      <c r="D448" s="14"/>
      <c r="E448" s="14"/>
      <c r="F448" s="14"/>
      <c r="G448" s="14"/>
      <c r="H448" s="14"/>
      <c r="I448" s="14"/>
    </row>
    <row r="449" spans="1:9" s="1" customFormat="1">
      <c r="C449" s="2"/>
      <c r="D449" s="14"/>
      <c r="E449" s="14"/>
      <c r="F449" s="14"/>
      <c r="G449" s="14"/>
      <c r="H449" s="14"/>
      <c r="I449" s="14"/>
    </row>
    <row r="450" spans="1:9" s="1" customFormat="1">
      <c r="C450" s="2"/>
      <c r="D450" s="14"/>
      <c r="E450" s="14"/>
      <c r="F450" s="14"/>
      <c r="G450" s="14"/>
      <c r="H450" s="14"/>
      <c r="I450" s="14"/>
    </row>
    <row r="451" spans="1:9" s="1" customFormat="1">
      <c r="C451" s="2"/>
      <c r="D451" s="14"/>
      <c r="E451" s="14"/>
      <c r="F451" s="14"/>
      <c r="G451" s="14"/>
      <c r="H451" s="14"/>
      <c r="I451" s="14"/>
    </row>
    <row r="452" spans="1:9" s="1" customFormat="1">
      <c r="C452" s="2"/>
      <c r="D452" s="14"/>
      <c r="E452" s="14"/>
      <c r="F452" s="14"/>
      <c r="G452" s="14"/>
      <c r="H452" s="14"/>
      <c r="I452" s="14"/>
    </row>
    <row r="453" spans="1:9" s="1" customFormat="1">
      <c r="C453" s="2"/>
      <c r="D453" s="14"/>
      <c r="E453" s="14"/>
      <c r="F453" s="14"/>
      <c r="G453" s="14"/>
      <c r="H453" s="14"/>
      <c r="I453" s="14"/>
    </row>
    <row r="454" spans="1:9" s="1" customFormat="1">
      <c r="C454" s="2"/>
      <c r="D454" s="14"/>
      <c r="E454" s="14"/>
      <c r="F454" s="14"/>
      <c r="G454" s="14"/>
      <c r="H454" s="14"/>
      <c r="I454" s="14"/>
    </row>
    <row r="455" spans="1:9" s="1" customFormat="1">
      <c r="C455" s="2"/>
      <c r="D455" s="14"/>
      <c r="E455" s="14"/>
      <c r="F455" s="14"/>
      <c r="G455" s="14"/>
      <c r="H455" s="14"/>
      <c r="I455" s="14"/>
    </row>
    <row r="456" spans="1:9" s="1" customFormat="1">
      <c r="C456" s="2"/>
      <c r="D456" s="14"/>
      <c r="E456" s="14"/>
      <c r="F456" s="14"/>
      <c r="G456" s="14"/>
      <c r="H456" s="14"/>
      <c r="I456" s="14"/>
    </row>
    <row r="457" spans="1:9" s="1" customFormat="1">
      <c r="C457" s="2"/>
      <c r="D457" s="14"/>
      <c r="E457" s="14"/>
      <c r="F457" s="14"/>
      <c r="G457" s="14"/>
      <c r="H457" s="14"/>
      <c r="I457" s="14"/>
    </row>
    <row r="458" spans="1:9" s="1" customFormat="1">
      <c r="C458" s="2"/>
      <c r="D458" s="14"/>
      <c r="E458" s="14"/>
      <c r="F458" s="14"/>
      <c r="G458" s="14"/>
      <c r="H458" s="14"/>
      <c r="I458" s="14"/>
    </row>
    <row r="459" spans="1:9" s="1" customFormat="1">
      <c r="C459" s="2"/>
      <c r="D459" s="14"/>
      <c r="E459" s="14"/>
      <c r="F459" s="14"/>
      <c r="G459" s="14"/>
      <c r="H459" s="14"/>
      <c r="I459" s="14"/>
    </row>
    <row r="460" spans="1:9" s="1" customFormat="1">
      <c r="C460" s="2"/>
      <c r="D460" s="14"/>
      <c r="E460" s="14"/>
      <c r="F460" s="14"/>
      <c r="G460" s="14"/>
      <c r="H460" s="14"/>
      <c r="I460" s="14"/>
    </row>
    <row r="461" spans="1:9" s="1" customFormat="1">
      <c r="C461" s="2"/>
      <c r="D461" s="14"/>
      <c r="E461" s="14"/>
      <c r="F461" s="14"/>
      <c r="G461" s="14"/>
      <c r="H461" s="14"/>
      <c r="I461" s="14"/>
    </row>
    <row r="462" spans="1:9">
      <c r="A462" s="1"/>
      <c r="B462" s="1"/>
      <c r="C462" s="2"/>
      <c r="D462" s="14"/>
      <c r="E462" s="14"/>
      <c r="F462" s="14"/>
      <c r="G462" s="14"/>
      <c r="H462" s="14"/>
      <c r="I462" s="14"/>
    </row>
    <row r="463" spans="1:9">
      <c r="A463" s="1"/>
      <c r="B463" s="1"/>
      <c r="C463" s="2"/>
      <c r="D463" s="14"/>
      <c r="E463" s="14"/>
      <c r="F463" s="14"/>
      <c r="G463" s="14"/>
      <c r="H463" s="14"/>
      <c r="I463" s="14"/>
    </row>
    <row r="464" spans="1:9">
      <c r="A464" s="1"/>
      <c r="B464" s="1"/>
      <c r="C464" s="2"/>
      <c r="D464" s="14"/>
      <c r="E464" s="14"/>
      <c r="F464" s="14"/>
      <c r="G464" s="14"/>
      <c r="H464" s="14"/>
      <c r="I464" s="14"/>
    </row>
    <row r="465" spans="1:9">
      <c r="A465" s="1"/>
      <c r="B465" s="1"/>
      <c r="C465" s="2"/>
      <c r="D465" s="14"/>
      <c r="E465" s="14"/>
      <c r="F465" s="14"/>
      <c r="G465" s="14"/>
      <c r="H465" s="14"/>
      <c r="I465" s="14"/>
    </row>
    <row r="466" spans="1:9">
      <c r="A466" s="1"/>
      <c r="B466" s="1"/>
      <c r="C466" s="2"/>
      <c r="D466" s="14"/>
      <c r="E466" s="14"/>
      <c r="F466" s="14"/>
      <c r="G466" s="14"/>
      <c r="H466" s="14"/>
      <c r="I466" s="14"/>
    </row>
    <row r="467" spans="1:9">
      <c r="A467" s="1"/>
      <c r="B467" s="1"/>
      <c r="C467" s="2"/>
      <c r="D467" s="14"/>
      <c r="E467" s="14"/>
      <c r="F467" s="14"/>
      <c r="G467" s="14"/>
      <c r="H467" s="14"/>
      <c r="I467" s="14"/>
    </row>
    <row r="468" spans="1:9">
      <c r="A468" s="1"/>
      <c r="B468" s="1"/>
      <c r="C468" s="2"/>
      <c r="D468" s="14"/>
      <c r="E468" s="14"/>
      <c r="F468" s="14"/>
      <c r="G468" s="14"/>
      <c r="H468" s="14"/>
      <c r="I468" s="14"/>
    </row>
    <row r="469" spans="1:9">
      <c r="A469" s="1"/>
      <c r="B469" s="1"/>
      <c r="C469" s="2"/>
      <c r="D469" s="14"/>
      <c r="E469" s="14"/>
      <c r="F469" s="14"/>
      <c r="G469" s="14"/>
      <c r="H469" s="14"/>
      <c r="I469" s="14"/>
    </row>
    <row r="470" spans="1:9">
      <c r="A470" s="1"/>
      <c r="B470" s="1"/>
      <c r="C470" s="2"/>
      <c r="D470" s="14"/>
      <c r="E470" s="14"/>
      <c r="F470" s="14"/>
      <c r="G470" s="14"/>
      <c r="H470" s="14"/>
      <c r="I470" s="14"/>
    </row>
    <row r="471" spans="1:9">
      <c r="A471" s="1"/>
      <c r="B471" s="1"/>
      <c r="C471" s="2"/>
      <c r="D471" s="14"/>
      <c r="E471" s="14"/>
      <c r="F471" s="14"/>
      <c r="G471" s="14"/>
      <c r="H471" s="14"/>
      <c r="I471" s="14"/>
    </row>
    <row r="472" spans="1:9">
      <c r="A472" s="1"/>
      <c r="B472" s="1"/>
      <c r="C472" s="2"/>
      <c r="D472" s="14"/>
      <c r="E472" s="14"/>
      <c r="F472" s="14"/>
      <c r="G472" s="14"/>
      <c r="H472" s="14"/>
      <c r="I472" s="14"/>
    </row>
    <row r="473" spans="1:9">
      <c r="A473" s="1"/>
      <c r="B473" s="1"/>
      <c r="C473" s="2"/>
      <c r="D473" s="14"/>
      <c r="E473" s="14"/>
      <c r="F473" s="14"/>
      <c r="G473" s="14"/>
      <c r="H473" s="14"/>
      <c r="I473" s="14"/>
    </row>
    <row r="474" spans="1:9">
      <c r="A474" s="1"/>
      <c r="B474" s="1"/>
      <c r="C474" s="2"/>
      <c r="D474" s="14"/>
      <c r="E474" s="14"/>
      <c r="F474" s="14"/>
      <c r="G474" s="14"/>
      <c r="H474" s="14"/>
      <c r="I474" s="14"/>
    </row>
    <row r="475" spans="1:9">
      <c r="A475" s="1"/>
      <c r="B475" s="1"/>
      <c r="C475" s="2"/>
      <c r="D475" s="14"/>
      <c r="E475" s="14"/>
      <c r="F475" s="14"/>
      <c r="G475" s="14"/>
      <c r="H475" s="14"/>
      <c r="I475" s="14"/>
    </row>
    <row r="476" spans="1:9">
      <c r="A476" s="1"/>
      <c r="B476" s="1"/>
      <c r="C476" s="2"/>
      <c r="D476" s="14"/>
      <c r="E476" s="14"/>
      <c r="F476" s="14"/>
      <c r="G476" s="14"/>
      <c r="H476" s="14"/>
      <c r="I476" s="14"/>
    </row>
    <row r="477" spans="1:9">
      <c r="A477" s="1"/>
      <c r="B477" s="1"/>
      <c r="C477" s="2"/>
      <c r="D477" s="14"/>
      <c r="E477" s="14"/>
      <c r="F477" s="14"/>
      <c r="G477" s="14"/>
      <c r="H477" s="14"/>
      <c r="I477" s="14"/>
    </row>
    <row r="478" spans="1:9">
      <c r="A478" s="1"/>
      <c r="B478" s="1"/>
      <c r="C478" s="2"/>
      <c r="D478" s="14"/>
      <c r="E478" s="14"/>
      <c r="F478" s="14"/>
      <c r="G478" s="14"/>
      <c r="H478" s="14"/>
      <c r="I478" s="14"/>
    </row>
    <row r="479" spans="1:9">
      <c r="A479" s="1"/>
      <c r="B479" s="1"/>
      <c r="C479" s="2"/>
      <c r="D479" s="14"/>
      <c r="E479" s="14"/>
      <c r="F479" s="14"/>
      <c r="G479" s="14"/>
      <c r="H479" s="14"/>
      <c r="I479" s="14"/>
    </row>
    <row r="480" spans="1:9">
      <c r="A480" s="1"/>
      <c r="B480" s="1"/>
      <c r="C480" s="2"/>
      <c r="D480" s="14"/>
      <c r="E480" s="14"/>
      <c r="F480" s="14"/>
      <c r="G480" s="14"/>
      <c r="H480" s="14"/>
      <c r="I480" s="14"/>
    </row>
    <row r="481" spans="1:9">
      <c r="A481" s="1"/>
      <c r="B481" s="1"/>
      <c r="C481" s="2"/>
      <c r="D481" s="14"/>
      <c r="E481" s="14"/>
      <c r="F481" s="14"/>
      <c r="G481" s="14"/>
      <c r="H481" s="14"/>
      <c r="I481" s="14"/>
    </row>
    <row r="482" spans="1:9">
      <c r="A482" s="1"/>
      <c r="B482" s="1"/>
      <c r="C482" s="2"/>
      <c r="D482" s="14"/>
      <c r="E482" s="14"/>
      <c r="F482" s="14"/>
      <c r="G482" s="14"/>
      <c r="H482" s="14"/>
      <c r="I482" s="14"/>
    </row>
    <row r="483" spans="1:9">
      <c r="A483" s="1"/>
      <c r="B483" s="1"/>
      <c r="C483" s="2"/>
      <c r="D483" s="14"/>
      <c r="E483" s="14"/>
      <c r="F483" s="14"/>
      <c r="G483" s="14"/>
      <c r="H483" s="14"/>
      <c r="I483" s="14"/>
    </row>
    <row r="484" spans="1:9">
      <c r="A484" s="1"/>
      <c r="B484" s="1"/>
      <c r="C484" s="2"/>
      <c r="D484" s="14"/>
      <c r="E484" s="14"/>
      <c r="F484" s="14"/>
      <c r="G484" s="14"/>
      <c r="H484" s="14"/>
      <c r="I484" s="14"/>
    </row>
    <row r="485" spans="1:9">
      <c r="A485" s="1"/>
      <c r="B485" s="1"/>
      <c r="C485" s="2"/>
      <c r="D485" s="14"/>
      <c r="E485" s="14"/>
      <c r="F485" s="14"/>
      <c r="G485" s="14"/>
      <c r="H485" s="14"/>
      <c r="I485" s="14"/>
    </row>
    <row r="486" spans="1:9">
      <c r="A486" s="1"/>
      <c r="B486" s="1"/>
      <c r="C486" s="2"/>
      <c r="D486" s="14"/>
      <c r="E486" s="14"/>
      <c r="F486" s="14"/>
      <c r="G486" s="14"/>
      <c r="H486" s="14"/>
      <c r="I486" s="14"/>
    </row>
    <row r="487" spans="1:9">
      <c r="A487" s="1"/>
      <c r="B487" s="1"/>
      <c r="C487" s="2"/>
      <c r="D487" s="14"/>
      <c r="E487" s="14"/>
      <c r="F487" s="14"/>
      <c r="G487" s="14"/>
      <c r="H487" s="14"/>
      <c r="I487" s="14"/>
    </row>
    <row r="488" spans="1:9">
      <c r="A488" s="1"/>
      <c r="B488" s="1"/>
      <c r="C488" s="2"/>
      <c r="D488" s="14"/>
      <c r="E488" s="14"/>
      <c r="F488" s="14"/>
      <c r="G488" s="14"/>
      <c r="H488" s="14"/>
      <c r="I488" s="14"/>
    </row>
    <row r="489" spans="1:9">
      <c r="A489" s="1"/>
      <c r="B489" s="1"/>
      <c r="C489" s="2"/>
      <c r="D489" s="14"/>
      <c r="E489" s="14"/>
      <c r="F489" s="14"/>
      <c r="G489" s="14"/>
      <c r="H489" s="14"/>
      <c r="I489" s="14"/>
    </row>
    <row r="490" spans="1:9">
      <c r="A490" s="1"/>
      <c r="B490" s="1"/>
      <c r="C490" s="2"/>
      <c r="D490" s="14"/>
      <c r="E490" s="14"/>
      <c r="F490" s="14"/>
      <c r="G490" s="14"/>
      <c r="H490" s="14"/>
      <c r="I490" s="14"/>
    </row>
    <row r="491" spans="1:9">
      <c r="A491" s="1"/>
      <c r="B491" s="1"/>
      <c r="C491" s="2"/>
      <c r="D491" s="14"/>
      <c r="E491" s="14"/>
      <c r="F491" s="14"/>
      <c r="G491" s="14"/>
      <c r="H491" s="14"/>
      <c r="I491" s="14"/>
    </row>
    <row r="492" spans="1:9">
      <c r="A492" s="1"/>
      <c r="B492" s="1"/>
      <c r="C492" s="2"/>
      <c r="D492" s="14"/>
      <c r="E492" s="14"/>
      <c r="F492" s="14"/>
      <c r="G492" s="14"/>
      <c r="H492" s="14"/>
      <c r="I492" s="14"/>
    </row>
    <row r="493" spans="1:9">
      <c r="A493" s="1"/>
      <c r="B493" s="1"/>
      <c r="C493" s="2"/>
      <c r="D493" s="14"/>
      <c r="E493" s="14"/>
      <c r="F493" s="14"/>
      <c r="G493" s="14"/>
      <c r="H493" s="14"/>
      <c r="I493" s="14"/>
    </row>
    <row r="494" spans="1:9">
      <c r="A494" s="1"/>
      <c r="B494" s="1"/>
      <c r="C494" s="2"/>
      <c r="D494" s="14"/>
      <c r="E494" s="14"/>
      <c r="F494" s="14"/>
      <c r="G494" s="14"/>
      <c r="H494" s="14"/>
      <c r="I494" s="14"/>
    </row>
    <row r="495" spans="1:9">
      <c r="A495" s="1"/>
      <c r="B495" s="1"/>
      <c r="C495" s="2"/>
      <c r="D495" s="14"/>
      <c r="E495" s="14"/>
      <c r="F495" s="14"/>
      <c r="G495" s="14"/>
      <c r="H495" s="14"/>
      <c r="I495" s="14"/>
    </row>
    <row r="496" spans="1:9">
      <c r="A496" s="1"/>
      <c r="B496" s="1"/>
      <c r="C496" s="2"/>
      <c r="D496" s="14"/>
      <c r="E496" s="14"/>
      <c r="F496" s="14"/>
      <c r="G496" s="14"/>
      <c r="H496" s="14"/>
      <c r="I496" s="14"/>
    </row>
    <row r="497" spans="1:9">
      <c r="A497" s="1"/>
      <c r="B497" s="1"/>
      <c r="C497" s="2"/>
      <c r="D497" s="14"/>
      <c r="E497" s="14"/>
      <c r="F497" s="14"/>
      <c r="G497" s="14"/>
      <c r="H497" s="14"/>
      <c r="I497" s="14"/>
    </row>
    <row r="498" spans="1:9">
      <c r="A498" s="1"/>
      <c r="B498" s="1"/>
      <c r="C498" s="2"/>
      <c r="D498" s="14"/>
      <c r="E498" s="14"/>
      <c r="F498" s="14"/>
      <c r="G498" s="14"/>
      <c r="H498" s="14"/>
      <c r="I498" s="14"/>
    </row>
    <row r="499" spans="1:9">
      <c r="A499" s="1"/>
      <c r="B499" s="1"/>
      <c r="C499" s="2"/>
      <c r="D499" s="14"/>
      <c r="E499" s="14"/>
      <c r="F499" s="14"/>
      <c r="G499" s="14"/>
      <c r="H499" s="14"/>
      <c r="I499" s="14"/>
    </row>
    <row r="500" spans="1:9">
      <c r="A500" s="1"/>
      <c r="B500" s="1"/>
      <c r="C500" s="2"/>
      <c r="D500" s="14"/>
      <c r="E500" s="14"/>
      <c r="F500" s="14"/>
      <c r="G500" s="14"/>
      <c r="H500" s="14"/>
      <c r="I500" s="14"/>
    </row>
    <row r="501" spans="1:9">
      <c r="A501" s="1"/>
      <c r="B501" s="1"/>
      <c r="C501" s="2"/>
      <c r="D501" s="14"/>
      <c r="E501" s="14"/>
      <c r="F501" s="14"/>
      <c r="G501" s="14"/>
      <c r="H501" s="14"/>
      <c r="I501" s="14"/>
    </row>
    <row r="502" spans="1:9">
      <c r="A502" s="1"/>
      <c r="B502" s="1"/>
      <c r="C502" s="2"/>
      <c r="D502" s="14"/>
      <c r="E502" s="14"/>
      <c r="F502" s="14"/>
      <c r="G502" s="14"/>
      <c r="H502" s="14"/>
      <c r="I502" s="14"/>
    </row>
    <row r="503" spans="1:9">
      <c r="A503" s="1"/>
      <c r="B503" s="1"/>
      <c r="C503" s="2"/>
      <c r="D503" s="14"/>
      <c r="E503" s="14"/>
      <c r="F503" s="14"/>
      <c r="G503" s="14"/>
      <c r="H503" s="14"/>
      <c r="I503" s="14"/>
    </row>
    <row r="504" spans="1:9">
      <c r="A504" s="1"/>
      <c r="B504" s="1"/>
      <c r="C504" s="2"/>
      <c r="D504" s="14"/>
      <c r="E504" s="14"/>
      <c r="F504" s="14"/>
      <c r="G504" s="14"/>
      <c r="H504" s="14"/>
      <c r="I504" s="14"/>
    </row>
    <row r="505" spans="1:9">
      <c r="A505" s="1"/>
      <c r="B505" s="1"/>
      <c r="C505" s="2"/>
      <c r="D505" s="14"/>
      <c r="E505" s="14"/>
      <c r="F505" s="14"/>
      <c r="G505" s="14"/>
      <c r="H505" s="14"/>
      <c r="I505" s="14"/>
    </row>
    <row r="506" spans="1:9">
      <c r="A506" s="1"/>
      <c r="B506" s="1"/>
      <c r="C506" s="2"/>
      <c r="D506" s="14"/>
      <c r="E506" s="14"/>
      <c r="F506" s="14"/>
      <c r="G506" s="14"/>
      <c r="H506" s="14"/>
      <c r="I506" s="14"/>
    </row>
    <row r="507" spans="1:9">
      <c r="A507" s="1"/>
      <c r="B507" s="1"/>
      <c r="C507" s="2"/>
      <c r="D507" s="14"/>
      <c r="E507" s="14"/>
      <c r="F507" s="14"/>
      <c r="G507" s="14"/>
      <c r="H507" s="14"/>
      <c r="I507" s="14"/>
    </row>
    <row r="508" spans="1:9">
      <c r="A508" s="1"/>
      <c r="B508" s="1"/>
      <c r="C508" s="2"/>
      <c r="D508" s="14"/>
      <c r="E508" s="14"/>
      <c r="F508" s="14"/>
      <c r="G508" s="14"/>
      <c r="H508" s="14"/>
      <c r="I508" s="14"/>
    </row>
    <row r="509" spans="1:9">
      <c r="A509" s="1"/>
      <c r="B509" s="1"/>
      <c r="C509" s="2"/>
      <c r="D509" s="14"/>
      <c r="E509" s="14"/>
      <c r="F509" s="14"/>
      <c r="G509" s="14"/>
      <c r="H509" s="14"/>
      <c r="I509" s="14"/>
    </row>
    <row r="510" spans="1:9">
      <c r="A510" s="1"/>
      <c r="B510" s="1"/>
      <c r="C510" s="2"/>
      <c r="D510" s="14"/>
      <c r="E510" s="14"/>
      <c r="F510" s="14"/>
      <c r="G510" s="14"/>
      <c r="H510" s="14"/>
      <c r="I510" s="14"/>
    </row>
    <row r="511" spans="1:9">
      <c r="A511" s="1"/>
      <c r="B511" s="1"/>
      <c r="C511" s="2"/>
      <c r="D511" s="14"/>
      <c r="E511" s="14"/>
      <c r="F511" s="14"/>
      <c r="G511" s="14"/>
      <c r="H511" s="14"/>
      <c r="I511" s="14"/>
    </row>
    <row r="512" spans="1:9">
      <c r="A512" s="1"/>
      <c r="B512" s="1"/>
      <c r="C512" s="2"/>
      <c r="D512" s="14"/>
      <c r="E512" s="14"/>
      <c r="F512" s="14"/>
      <c r="G512" s="14"/>
      <c r="H512" s="14"/>
      <c r="I512" s="14"/>
    </row>
    <row r="513" spans="1:9">
      <c r="A513" s="1"/>
      <c r="B513" s="1"/>
      <c r="C513" s="2"/>
      <c r="D513" s="14"/>
      <c r="E513" s="14"/>
      <c r="F513" s="14"/>
      <c r="G513" s="14"/>
      <c r="H513" s="14"/>
      <c r="I513" s="14"/>
    </row>
    <row r="514" spans="1:9">
      <c r="A514" s="1"/>
      <c r="B514" s="1"/>
      <c r="C514" s="2"/>
      <c r="D514" s="14"/>
      <c r="E514" s="14"/>
      <c r="F514" s="14"/>
      <c r="G514" s="14"/>
      <c r="H514" s="14"/>
      <c r="I514" s="14"/>
    </row>
    <row r="515" spans="1:9">
      <c r="A515" s="1"/>
      <c r="B515" s="1"/>
      <c r="C515" s="2"/>
      <c r="D515" s="14"/>
      <c r="E515" s="14"/>
      <c r="F515" s="14"/>
      <c r="G515" s="14"/>
      <c r="H515" s="14"/>
      <c r="I515" s="14"/>
    </row>
    <row r="516" spans="1:9">
      <c r="A516" s="1"/>
      <c r="B516" s="1"/>
      <c r="C516" s="2"/>
      <c r="D516" s="14"/>
      <c r="E516" s="14"/>
      <c r="F516" s="14"/>
      <c r="G516" s="14"/>
      <c r="H516" s="14"/>
      <c r="I516" s="14"/>
    </row>
    <row r="517" spans="1:9">
      <c r="A517" s="1"/>
      <c r="B517" s="1"/>
      <c r="C517" s="2"/>
      <c r="D517" s="14"/>
      <c r="E517" s="14"/>
      <c r="F517" s="14"/>
      <c r="G517" s="14"/>
      <c r="H517" s="14"/>
      <c r="I517" s="14"/>
    </row>
    <row r="518" spans="1:9">
      <c r="A518" s="1"/>
      <c r="B518" s="1"/>
      <c r="C518" s="2"/>
      <c r="D518" s="14"/>
      <c r="E518" s="14"/>
      <c r="F518" s="14"/>
      <c r="G518" s="14"/>
      <c r="H518" s="14"/>
      <c r="I518" s="14"/>
    </row>
    <row r="519" spans="1:9">
      <c r="A519" s="1"/>
      <c r="B519" s="1"/>
      <c r="C519" s="2"/>
      <c r="D519" s="14"/>
      <c r="E519" s="14"/>
      <c r="F519" s="14"/>
      <c r="G519" s="14"/>
      <c r="H519" s="14"/>
      <c r="I519" s="14"/>
    </row>
    <row r="520" spans="1:9">
      <c r="A520" s="1"/>
      <c r="B520" s="1"/>
      <c r="C520" s="2"/>
      <c r="D520" s="14"/>
      <c r="E520" s="14"/>
      <c r="F520" s="14"/>
      <c r="G520" s="14"/>
      <c r="H520" s="14"/>
      <c r="I520" s="14"/>
    </row>
    <row r="521" spans="1:9">
      <c r="A521" s="1"/>
      <c r="B521" s="1"/>
      <c r="C521" s="2"/>
      <c r="D521" s="14"/>
      <c r="E521" s="14"/>
      <c r="F521" s="14"/>
      <c r="G521" s="14"/>
      <c r="H521" s="14"/>
      <c r="I521" s="14"/>
    </row>
    <row r="522" spans="1:9">
      <c r="A522" s="1"/>
      <c r="B522" s="1"/>
      <c r="C522" s="2"/>
      <c r="D522" s="14"/>
      <c r="E522" s="14"/>
      <c r="F522" s="14"/>
      <c r="G522" s="14"/>
      <c r="H522" s="14"/>
      <c r="I522" s="14"/>
    </row>
    <row r="523" spans="1:9">
      <c r="A523" s="1"/>
      <c r="B523" s="1"/>
      <c r="C523" s="2"/>
      <c r="D523" s="14"/>
      <c r="E523" s="14"/>
      <c r="F523" s="14"/>
      <c r="G523" s="14"/>
      <c r="H523" s="14"/>
      <c r="I523" s="14"/>
    </row>
    <row r="524" spans="1:9">
      <c r="A524" s="1"/>
      <c r="B524" s="1"/>
      <c r="C524" s="2"/>
      <c r="D524" s="14"/>
      <c r="E524" s="14"/>
      <c r="F524" s="14"/>
      <c r="G524" s="14"/>
      <c r="H524" s="14"/>
      <c r="I524" s="14"/>
    </row>
    <row r="525" spans="1:9">
      <c r="A525" s="1"/>
      <c r="B525" s="1"/>
      <c r="C525" s="2"/>
      <c r="D525" s="14"/>
      <c r="E525" s="14"/>
      <c r="F525" s="14"/>
      <c r="G525" s="14"/>
      <c r="H525" s="14"/>
      <c r="I525" s="14"/>
    </row>
    <row r="526" spans="1:9">
      <c r="A526" s="1"/>
      <c r="B526" s="1"/>
      <c r="C526" s="2"/>
      <c r="D526" s="14"/>
      <c r="E526" s="14"/>
      <c r="F526" s="14"/>
      <c r="G526" s="14"/>
      <c r="H526" s="14"/>
      <c r="I526" s="14"/>
    </row>
    <row r="527" spans="1:9">
      <c r="A527" s="1"/>
      <c r="B527" s="1"/>
      <c r="C527" s="2"/>
      <c r="D527" s="14"/>
      <c r="E527" s="14"/>
      <c r="F527" s="14"/>
      <c r="G527" s="14"/>
      <c r="H527" s="14"/>
      <c r="I527" s="14"/>
    </row>
    <row r="528" spans="1:9">
      <c r="A528" s="1"/>
      <c r="B528" s="1"/>
      <c r="C528" s="2"/>
      <c r="D528" s="14"/>
      <c r="E528" s="14"/>
      <c r="F528" s="14"/>
      <c r="G528" s="14"/>
      <c r="H528" s="14"/>
      <c r="I528" s="14"/>
    </row>
    <row r="529" spans="1:9">
      <c r="A529" s="1"/>
      <c r="B529" s="1"/>
      <c r="C529" s="2"/>
      <c r="D529" s="14"/>
      <c r="E529" s="14"/>
      <c r="F529" s="14"/>
      <c r="G529" s="14"/>
      <c r="H529" s="14"/>
      <c r="I529" s="14"/>
    </row>
    <row r="530" spans="1:9">
      <c r="C530" s="6"/>
      <c r="D530" s="16"/>
      <c r="E530" s="16"/>
      <c r="F530" s="16"/>
      <c r="G530" s="16"/>
      <c r="H530" s="16"/>
      <c r="I530" s="16"/>
    </row>
    <row r="531" spans="1:9">
      <c r="C531" s="6"/>
      <c r="D531" s="16"/>
      <c r="E531" s="16"/>
      <c r="F531" s="16"/>
      <c r="G531" s="16"/>
      <c r="H531" s="16"/>
      <c r="I531" s="16"/>
    </row>
    <row r="532" spans="1:9">
      <c r="C532" s="6"/>
      <c r="D532" s="16"/>
      <c r="E532" s="16"/>
      <c r="F532" s="16"/>
      <c r="G532" s="16"/>
      <c r="H532" s="16"/>
      <c r="I532" s="16"/>
    </row>
    <row r="533" spans="1:9">
      <c r="C533" s="6"/>
      <c r="D533" s="16"/>
      <c r="E533" s="16"/>
      <c r="F533" s="16"/>
      <c r="G533" s="16"/>
      <c r="H533" s="16"/>
      <c r="I533" s="16"/>
    </row>
    <row r="534" spans="1:9">
      <c r="C534" s="6"/>
      <c r="D534" s="16"/>
      <c r="E534" s="16"/>
      <c r="F534" s="16"/>
      <c r="G534" s="16"/>
      <c r="H534" s="16"/>
      <c r="I534" s="16"/>
    </row>
    <row r="535" spans="1:9">
      <c r="C535" s="6"/>
      <c r="D535" s="16"/>
      <c r="E535" s="16"/>
      <c r="F535" s="16"/>
      <c r="G535" s="16"/>
      <c r="H535" s="16"/>
      <c r="I535" s="16"/>
    </row>
    <row r="536" spans="1:9">
      <c r="C536" s="6"/>
      <c r="D536" s="16"/>
      <c r="E536" s="16"/>
      <c r="F536" s="16"/>
      <c r="G536" s="16"/>
      <c r="H536" s="16"/>
      <c r="I536" s="16"/>
    </row>
    <row r="537" spans="1:9">
      <c r="C537" s="6"/>
      <c r="D537" s="16"/>
      <c r="E537" s="16"/>
      <c r="F537" s="16"/>
      <c r="G537" s="16"/>
      <c r="H537" s="16"/>
      <c r="I537" s="16"/>
    </row>
    <row r="538" spans="1:9">
      <c r="C538" s="6"/>
      <c r="D538" s="16"/>
      <c r="E538" s="16"/>
      <c r="F538" s="16"/>
      <c r="G538" s="16"/>
      <c r="H538" s="16"/>
      <c r="I538" s="16"/>
    </row>
    <row r="539" spans="1:9">
      <c r="C539" s="6"/>
      <c r="D539" s="16"/>
      <c r="E539" s="16"/>
      <c r="F539" s="16"/>
      <c r="G539" s="16"/>
      <c r="H539" s="16"/>
      <c r="I539" s="16"/>
    </row>
    <row r="540" spans="1:9">
      <c r="C540" s="6"/>
      <c r="D540" s="16"/>
      <c r="E540" s="16"/>
      <c r="F540" s="16"/>
      <c r="G540" s="16"/>
      <c r="H540" s="16"/>
      <c r="I540" s="16"/>
    </row>
    <row r="541" spans="1:9">
      <c r="C541" s="6"/>
      <c r="D541" s="16"/>
      <c r="E541" s="16"/>
      <c r="F541" s="16"/>
      <c r="G541" s="16"/>
      <c r="H541" s="16"/>
      <c r="I541" s="16"/>
    </row>
    <row r="542" spans="1:9">
      <c r="C542" s="6"/>
      <c r="D542" s="16"/>
      <c r="E542" s="16"/>
      <c r="F542" s="16"/>
      <c r="G542" s="16"/>
      <c r="H542" s="16"/>
      <c r="I542" s="16"/>
    </row>
    <row r="543" spans="1:9">
      <c r="C543" s="6"/>
      <c r="D543" s="16"/>
      <c r="E543" s="16"/>
      <c r="F543" s="16"/>
      <c r="G543" s="16"/>
      <c r="H543" s="16"/>
      <c r="I543" s="16"/>
    </row>
    <row r="544" spans="1:9">
      <c r="C544" s="6"/>
      <c r="D544" s="16"/>
      <c r="E544" s="16"/>
      <c r="F544" s="16"/>
      <c r="G544" s="16"/>
      <c r="H544" s="16"/>
      <c r="I544" s="16"/>
    </row>
    <row r="545" spans="3:9">
      <c r="C545" s="6"/>
      <c r="D545" s="16"/>
      <c r="E545" s="16"/>
      <c r="F545" s="16"/>
      <c r="G545" s="16"/>
      <c r="H545" s="16"/>
      <c r="I545" s="16"/>
    </row>
    <row r="546" spans="3:9">
      <c r="C546" s="6"/>
      <c r="D546" s="16"/>
      <c r="E546" s="16"/>
      <c r="F546" s="16"/>
      <c r="G546" s="16"/>
      <c r="H546" s="16"/>
      <c r="I546" s="16"/>
    </row>
    <row r="547" spans="3:9">
      <c r="C547" s="6"/>
      <c r="D547" s="16"/>
      <c r="E547" s="16"/>
      <c r="F547" s="16"/>
      <c r="G547" s="16"/>
      <c r="H547" s="16"/>
      <c r="I547" s="16"/>
    </row>
    <row r="548" spans="3:9">
      <c r="C548" s="6"/>
      <c r="D548" s="16"/>
      <c r="E548" s="16"/>
      <c r="F548" s="16"/>
      <c r="G548" s="16"/>
      <c r="H548" s="16"/>
      <c r="I548" s="16"/>
    </row>
    <row r="549" spans="3:9">
      <c r="C549" s="6"/>
      <c r="D549" s="16"/>
      <c r="E549" s="16"/>
      <c r="F549" s="16"/>
      <c r="G549" s="16"/>
      <c r="H549" s="16"/>
      <c r="I549" s="16"/>
    </row>
  </sheetData>
  <mergeCells count="111">
    <mergeCell ref="A214:B214"/>
    <mergeCell ref="A223:B243"/>
    <mergeCell ref="C289:I289"/>
    <mergeCell ref="C267:I267"/>
    <mergeCell ref="A346:A349"/>
    <mergeCell ref="B346:B349"/>
    <mergeCell ref="C346:I346"/>
    <mergeCell ref="A352:E352"/>
    <mergeCell ref="H352:I352"/>
    <mergeCell ref="A338:A341"/>
    <mergeCell ref="B338:B341"/>
    <mergeCell ref="C338:I338"/>
    <mergeCell ref="A342:A345"/>
    <mergeCell ref="B342:B345"/>
    <mergeCell ref="C342:I342"/>
    <mergeCell ref="A267:A285"/>
    <mergeCell ref="B267:B285"/>
    <mergeCell ref="A312:A320"/>
    <mergeCell ref="B312:B320"/>
    <mergeCell ref="A289:A298"/>
    <mergeCell ref="B289:B298"/>
    <mergeCell ref="H1:I1"/>
    <mergeCell ref="F2:H2"/>
    <mergeCell ref="A4:H4"/>
    <mergeCell ref="A6:H6"/>
    <mergeCell ref="A7:H7"/>
    <mergeCell ref="A8:H8"/>
    <mergeCell ref="C67:I67"/>
    <mergeCell ref="A71:A82"/>
    <mergeCell ref="B71:B82"/>
    <mergeCell ref="C71:I71"/>
    <mergeCell ref="A13:B33"/>
    <mergeCell ref="C13:I13"/>
    <mergeCell ref="C34:I34"/>
    <mergeCell ref="C54:I54"/>
    <mergeCell ref="A54:A66"/>
    <mergeCell ref="B54:B66"/>
    <mergeCell ref="A67:A70"/>
    <mergeCell ref="B67:B70"/>
    <mergeCell ref="C328:I328"/>
    <mergeCell ref="C324:I324"/>
    <mergeCell ref="C321:I321"/>
    <mergeCell ref="C312:I312"/>
    <mergeCell ref="C299:I299"/>
    <mergeCell ref="C256:I256"/>
    <mergeCell ref="C253:I253"/>
    <mergeCell ref="A10:A11"/>
    <mergeCell ref="B10:B11"/>
    <mergeCell ref="C10:C11"/>
    <mergeCell ref="D10:E10"/>
    <mergeCell ref="F10:G10"/>
    <mergeCell ref="H10:I10"/>
    <mergeCell ref="A83:A102"/>
    <mergeCell ref="B83:B102"/>
    <mergeCell ref="A168:A179"/>
    <mergeCell ref="B168:B179"/>
    <mergeCell ref="C103:I103"/>
    <mergeCell ref="C83:I83"/>
    <mergeCell ref="A328:A337"/>
    <mergeCell ref="B328:B337"/>
    <mergeCell ref="A299:B311"/>
    <mergeCell ref="A321:A323"/>
    <mergeCell ref="B321:B323"/>
    <mergeCell ref="C168:I168"/>
    <mergeCell ref="A286:A288"/>
    <mergeCell ref="B286:B288"/>
    <mergeCell ref="C286:I286"/>
    <mergeCell ref="C244:I244"/>
    <mergeCell ref="C223:I223"/>
    <mergeCell ref="A253:A255"/>
    <mergeCell ref="B253:B255"/>
    <mergeCell ref="A256:A266"/>
    <mergeCell ref="B256:B266"/>
    <mergeCell ref="C183:I183"/>
    <mergeCell ref="C207:I207"/>
    <mergeCell ref="A183:B195"/>
    <mergeCell ref="A207:A213"/>
    <mergeCell ref="B207:B213"/>
    <mergeCell ref="A215:A222"/>
    <mergeCell ref="B215:B222"/>
    <mergeCell ref="A244:A252"/>
    <mergeCell ref="B244:B252"/>
    <mergeCell ref="A196:A206"/>
    <mergeCell ref="B196:B206"/>
    <mergeCell ref="C215:I215"/>
    <mergeCell ref="C214:I214"/>
    <mergeCell ref="C196:I196"/>
    <mergeCell ref="A324:A327"/>
    <mergeCell ref="B324:B327"/>
    <mergeCell ref="A103:A113"/>
    <mergeCell ref="B103:B113"/>
    <mergeCell ref="A125:A131"/>
    <mergeCell ref="B125:B131"/>
    <mergeCell ref="C125:I125"/>
    <mergeCell ref="A34:B53"/>
    <mergeCell ref="C144:I144"/>
    <mergeCell ref="C156:I156"/>
    <mergeCell ref="A180:A182"/>
    <mergeCell ref="B180:B182"/>
    <mergeCell ref="A156:B167"/>
    <mergeCell ref="A114:A117"/>
    <mergeCell ref="B114:B117"/>
    <mergeCell ref="C114:I114"/>
    <mergeCell ref="C118:I118"/>
    <mergeCell ref="A118:A124"/>
    <mergeCell ref="B118:B124"/>
    <mergeCell ref="A132:B143"/>
    <mergeCell ref="C132:I132"/>
    <mergeCell ref="A144:A155"/>
    <mergeCell ref="B144:B155"/>
    <mergeCell ref="C180:I180"/>
  </mergeCells>
  <printOptions horizontalCentered="1"/>
  <pageMargins left="0.51181102362204722" right="0.51181102362204722" top="0.35433070866141736" bottom="0.39370078740157483" header="0.11811023622047245" footer="0.11811023622047245"/>
  <pageSetup paperSize="9" scale="76" orientation="landscape" r:id="rId1"/>
  <headerFooter>
    <oddFooter>Сторінка &amp;P</oddFooter>
  </headerFooter>
  <rowBreaks count="8" manualBreakCount="8">
    <brk id="33" max="8" man="1"/>
    <brk id="70" max="8" man="1"/>
    <brk id="113" max="8" man="1"/>
    <brk id="155" max="8" man="1"/>
    <brk id="195" max="8" man="1"/>
    <brk id="243" max="8" man="1"/>
    <brk id="288" max="8" man="1"/>
    <brk id="3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дод. 1</vt:lpstr>
      <vt:lpstr>'дод. 1'!Заголовки_для_друку</vt:lpstr>
      <vt:lpstr>'дод. 1'!Область_друку</vt:lpstr>
    </vt:vector>
  </TitlesOfParts>
  <Company>МінПрироди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kurachenko</dc:creator>
  <cp:lastModifiedBy>kurachenko</cp:lastModifiedBy>
  <cp:lastPrinted>2016-03-11T12:05:50Z</cp:lastPrinted>
  <dcterms:created xsi:type="dcterms:W3CDTF">2015-03-05T14:21:41Z</dcterms:created>
  <dcterms:modified xsi:type="dcterms:W3CDTF">2016-03-11T12:09:07Z</dcterms:modified>
</cp:coreProperties>
</file>